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autoCompressPictures="0"/>
  <xr:revisionPtr revIDLastSave="0" documentId="8_{D08872A2-E76F-4560-B62F-6595D907F6E8}" xr6:coauthVersionLast="46" xr6:coauthVersionMax="46" xr10:uidLastSave="{00000000-0000-0000-0000-000000000000}"/>
  <bookViews>
    <workbookView xWindow="-108" yWindow="-108" windowWidth="23256" windowHeight="12576" tabRatio="696" xr2:uid="{00000000-000D-0000-FFFF-FFFF00000000}"/>
  </bookViews>
  <sheets>
    <sheet name="Whole Sample Data" sheetId="1" r:id="rId1"/>
    <sheet name="Metrics" sheetId="2" r:id="rId2"/>
    <sheet name="Raw Data" sheetId="8" r:id="rId3"/>
    <sheet name="Raw Data - Flat" sheetId="3" r:id="rId4"/>
    <sheet name="Subsample Record" sheetId="4" r:id="rId5"/>
    <sheet name="Taxa Codes" sheetId="5" r:id="rId6"/>
    <sheet name="Sorting Efficiency" sheetId="7" r:id="rId7"/>
  </sheets>
  <definedNames>
    <definedName name="_xlnm.Print_Titles" localSheetId="1">Metrics!$A:$A,Metrics!$9:$12</definedName>
    <definedName name="_xlnm.Print_Titles" localSheetId="2">'Raw Data'!$A:$A,'Raw Data'!$9:$14</definedName>
    <definedName name="_xlnm.Print_Titles" localSheetId="0">'Whole Sample Data'!$A:$A,'Whole Sample Data'!$9:$12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51" i="1" l="1"/>
  <c r="O364" i="1"/>
  <c r="C17" i="7"/>
  <c r="F17" i="7"/>
  <c r="C12" i="7"/>
  <c r="F12" i="7"/>
  <c r="C1243" i="3"/>
  <c r="C1191" i="3"/>
  <c r="C1145" i="3"/>
  <c r="C1116" i="3"/>
  <c r="C1063" i="3"/>
  <c r="C1027" i="3"/>
  <c r="C971" i="3"/>
  <c r="C930" i="3"/>
  <c r="C892" i="3"/>
  <c r="C830" i="3"/>
  <c r="C783" i="3"/>
  <c r="C738" i="3"/>
  <c r="C706" i="3"/>
  <c r="C674" i="3"/>
  <c r="C634" i="3"/>
  <c r="C592" i="3"/>
  <c r="C534" i="3"/>
  <c r="C491" i="3"/>
  <c r="C444" i="3"/>
  <c r="C405" i="3"/>
  <c r="C351" i="3"/>
  <c r="C312" i="3"/>
  <c r="C267" i="3"/>
  <c r="C235" i="3"/>
  <c r="C185" i="3"/>
  <c r="C137" i="3"/>
  <c r="C84" i="3"/>
  <c r="C41" i="3"/>
  <c r="AC366" i="8"/>
  <c r="AB366" i="8"/>
  <c r="AA366" i="8"/>
  <c r="Z366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AC353" i="8"/>
  <c r="AB353" i="8"/>
  <c r="AA353" i="8"/>
  <c r="Z353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C50" i="2"/>
  <c r="AC51" i="2"/>
  <c r="AC60" i="2" s="1"/>
  <c r="AC52" i="2"/>
  <c r="AC53" i="2"/>
  <c r="AC54" i="2"/>
  <c r="AC55" i="2"/>
  <c r="AC56" i="2"/>
  <c r="AC58" i="2"/>
  <c r="AB50" i="2"/>
  <c r="AB51" i="2"/>
  <c r="AB52" i="2"/>
  <c r="AB53" i="2"/>
  <c r="AB54" i="2"/>
  <c r="AB55" i="2"/>
  <c r="AB56" i="2"/>
  <c r="AB58" i="2"/>
  <c r="AB60" i="2"/>
  <c r="AA50" i="2"/>
  <c r="AA51" i="2"/>
  <c r="AA52" i="2"/>
  <c r="AA53" i="2"/>
  <c r="AA60" i="2" s="1"/>
  <c r="AA55" i="2"/>
  <c r="AA56" i="2"/>
  <c r="Z50" i="2"/>
  <c r="Z60" i="2" s="1"/>
  <c r="Z51" i="2"/>
  <c r="Z52" i="2"/>
  <c r="Z53" i="2"/>
  <c r="Z55" i="2"/>
  <c r="Z56" i="2"/>
  <c r="Z58" i="2"/>
  <c r="Y50" i="2"/>
  <c r="Y60" i="2" s="1"/>
  <c r="Y51" i="2"/>
  <c r="Y52" i="2"/>
  <c r="Y53" i="2"/>
  <c r="Y55" i="2"/>
  <c r="Y56" i="2"/>
  <c r="X50" i="2"/>
  <c r="X60" i="2" s="1"/>
  <c r="X51" i="2"/>
  <c r="X52" i="2"/>
  <c r="X53" i="2"/>
  <c r="X55" i="2"/>
  <c r="X56" i="2"/>
  <c r="X58" i="2"/>
  <c r="W50" i="2"/>
  <c r="W51" i="2"/>
  <c r="W60" i="2" s="1"/>
  <c r="W52" i="2"/>
  <c r="W53" i="2"/>
  <c r="W54" i="2"/>
  <c r="W55" i="2"/>
  <c r="W56" i="2"/>
  <c r="V50" i="2"/>
  <c r="V51" i="2"/>
  <c r="V60" i="2" s="1"/>
  <c r="V52" i="2"/>
  <c r="V53" i="2"/>
  <c r="V55" i="2"/>
  <c r="V56" i="2"/>
  <c r="V58" i="2"/>
  <c r="U50" i="2"/>
  <c r="U60" i="2" s="1"/>
  <c r="U51" i="2"/>
  <c r="U52" i="2"/>
  <c r="U53" i="2"/>
  <c r="U55" i="2"/>
  <c r="U56" i="2"/>
  <c r="U58" i="2"/>
  <c r="T50" i="2"/>
  <c r="T51" i="2"/>
  <c r="T52" i="2"/>
  <c r="T55" i="2"/>
  <c r="T56" i="2"/>
  <c r="T60" i="2"/>
  <c r="S50" i="2"/>
  <c r="S51" i="2"/>
  <c r="S52" i="2"/>
  <c r="S53" i="2"/>
  <c r="S54" i="2"/>
  <c r="S55" i="2"/>
  <c r="S56" i="2"/>
  <c r="S60" i="2"/>
  <c r="R50" i="2"/>
  <c r="R51" i="2"/>
  <c r="R52" i="2"/>
  <c r="R53" i="2"/>
  <c r="R60" i="2" s="1"/>
  <c r="R55" i="2"/>
  <c r="R56" i="2"/>
  <c r="R58" i="2"/>
  <c r="Q50" i="2"/>
  <c r="Q51" i="2"/>
  <c r="Q52" i="2"/>
  <c r="Q60" i="2" s="1"/>
  <c r="Q53" i="2"/>
  <c r="Q55" i="2"/>
  <c r="P50" i="2"/>
  <c r="P60" i="2" s="1"/>
  <c r="P51" i="2"/>
  <c r="P52" i="2"/>
  <c r="P53" i="2"/>
  <c r="P55" i="2"/>
  <c r="P56" i="2"/>
  <c r="O50" i="2"/>
  <c r="O51" i="2"/>
  <c r="O52" i="2"/>
  <c r="O53" i="2"/>
  <c r="O60" i="2" s="1"/>
  <c r="O55" i="2"/>
  <c r="O58" i="2"/>
  <c r="N50" i="2"/>
  <c r="N60" i="2" s="1"/>
  <c r="N51" i="2"/>
  <c r="N52" i="2"/>
  <c r="N53" i="2"/>
  <c r="N55" i="2"/>
  <c r="N56" i="2"/>
  <c r="N58" i="2"/>
  <c r="M50" i="2"/>
  <c r="M51" i="2"/>
  <c r="M52" i="2"/>
  <c r="M53" i="2"/>
  <c r="M54" i="2"/>
  <c r="M55" i="2"/>
  <c r="M56" i="2"/>
  <c r="M58" i="2"/>
  <c r="M60" i="2"/>
  <c r="L50" i="2"/>
  <c r="L51" i="2"/>
  <c r="L52" i="2"/>
  <c r="L53" i="2"/>
  <c r="L55" i="2"/>
  <c r="L56" i="2"/>
  <c r="L58" i="2"/>
  <c r="L60" i="2"/>
  <c r="K50" i="2"/>
  <c r="K51" i="2"/>
  <c r="K52" i="2"/>
  <c r="K55" i="2"/>
  <c r="K60" i="2" s="1"/>
  <c r="K56" i="2"/>
  <c r="K58" i="2"/>
  <c r="J50" i="2"/>
  <c r="J60" i="2" s="1"/>
  <c r="J51" i="2"/>
  <c r="J52" i="2"/>
  <c r="J53" i="2"/>
  <c r="J55" i="2"/>
  <c r="J56" i="2"/>
  <c r="J58" i="2"/>
  <c r="I50" i="2"/>
  <c r="I60" i="2" s="1"/>
  <c r="I51" i="2"/>
  <c r="I52" i="2"/>
  <c r="I53" i="2"/>
  <c r="I55" i="2"/>
  <c r="H50" i="2"/>
  <c r="H52" i="2"/>
  <c r="H53" i="2"/>
  <c r="H60" i="2" s="1"/>
  <c r="H55" i="2"/>
  <c r="H58" i="2"/>
  <c r="G50" i="2"/>
  <c r="G60" i="2" s="1"/>
  <c r="G52" i="2"/>
  <c r="G53" i="2"/>
  <c r="G55" i="2"/>
  <c r="G56" i="2"/>
  <c r="F50" i="2"/>
  <c r="F51" i="2"/>
  <c r="F52" i="2"/>
  <c r="F53" i="2"/>
  <c r="F55" i="2"/>
  <c r="F56" i="2"/>
  <c r="F60" i="2"/>
  <c r="E50" i="2"/>
  <c r="E51" i="2"/>
  <c r="E52" i="2"/>
  <c r="E53" i="2"/>
  <c r="E55" i="2"/>
  <c r="E56" i="2"/>
  <c r="E58" i="2"/>
  <c r="E60" i="2"/>
  <c r="D50" i="2"/>
  <c r="D51" i="2"/>
  <c r="D52" i="2"/>
  <c r="D53" i="2"/>
  <c r="D55" i="2"/>
  <c r="D56" i="2"/>
  <c r="D58" i="2"/>
  <c r="D60" i="2"/>
  <c r="C50" i="2"/>
  <c r="C51" i="2"/>
  <c r="C52" i="2"/>
  <c r="C53" i="2"/>
  <c r="C55" i="2"/>
  <c r="C56" i="2"/>
  <c r="C58" i="2"/>
  <c r="C60" i="2"/>
  <c r="B50" i="2"/>
  <c r="B60" i="2" s="1"/>
  <c r="B51" i="2"/>
  <c r="B52" i="2"/>
  <c r="B53" i="2"/>
  <c r="B55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C39" i="2"/>
  <c r="AC42" i="2" s="1"/>
  <c r="AC40" i="2"/>
  <c r="AC25" i="2" s="1"/>
  <c r="AC41" i="2"/>
  <c r="AB39" i="2"/>
  <c r="AB42" i="2" s="1"/>
  <c r="AB40" i="2"/>
  <c r="AB41" i="2"/>
  <c r="AA39" i="2"/>
  <c r="AA25" i="2" s="1"/>
  <c r="AA40" i="2"/>
  <c r="AA41" i="2"/>
  <c r="Z39" i="2"/>
  <c r="Z42" i="2" s="1"/>
  <c r="Z40" i="2"/>
  <c r="Z41" i="2"/>
  <c r="Y39" i="2"/>
  <c r="Y42" i="2" s="1"/>
  <c r="Y40" i="2"/>
  <c r="Y25" i="2" s="1"/>
  <c r="Y41" i="2"/>
  <c r="X39" i="2"/>
  <c r="X42" i="2" s="1"/>
  <c r="X40" i="2"/>
  <c r="X41" i="2"/>
  <c r="W39" i="2"/>
  <c r="W25" i="2" s="1"/>
  <c r="W40" i="2"/>
  <c r="W41" i="2"/>
  <c r="V39" i="2"/>
  <c r="V42" i="2" s="1"/>
  <c r="V40" i="2"/>
  <c r="V41" i="2"/>
  <c r="U39" i="2"/>
  <c r="U42" i="2" s="1"/>
  <c r="U40" i="2"/>
  <c r="U25" i="2" s="1"/>
  <c r="U41" i="2"/>
  <c r="T39" i="2"/>
  <c r="T42" i="2" s="1"/>
  <c r="T40" i="2"/>
  <c r="T41" i="2"/>
  <c r="S39" i="2"/>
  <c r="S25" i="2" s="1"/>
  <c r="S40" i="2"/>
  <c r="S41" i="2"/>
  <c r="R39" i="2"/>
  <c r="R42" i="2" s="1"/>
  <c r="R40" i="2"/>
  <c r="R41" i="2"/>
  <c r="Q39" i="2"/>
  <c r="Q42" i="2" s="1"/>
  <c r="Q40" i="2"/>
  <c r="Q25" i="2" s="1"/>
  <c r="Q41" i="2"/>
  <c r="P39" i="2"/>
  <c r="P42" i="2" s="1"/>
  <c r="P40" i="2"/>
  <c r="P41" i="2"/>
  <c r="O39" i="2"/>
  <c r="O25" i="2" s="1"/>
  <c r="O40" i="2"/>
  <c r="O41" i="2"/>
  <c r="N39" i="2"/>
  <c r="N42" i="2" s="1"/>
  <c r="N40" i="2"/>
  <c r="N41" i="2"/>
  <c r="M39" i="2"/>
  <c r="M42" i="2" s="1"/>
  <c r="M40" i="2"/>
  <c r="M25" i="2" s="1"/>
  <c r="M41" i="2"/>
  <c r="L39" i="2"/>
  <c r="L42" i="2" s="1"/>
  <c r="L40" i="2"/>
  <c r="L41" i="2"/>
  <c r="K39" i="2"/>
  <c r="K25" i="2" s="1"/>
  <c r="K40" i="2"/>
  <c r="K41" i="2"/>
  <c r="J39" i="2"/>
  <c r="J42" i="2" s="1"/>
  <c r="J40" i="2"/>
  <c r="J41" i="2"/>
  <c r="I39" i="2"/>
  <c r="I42" i="2" s="1"/>
  <c r="I40" i="2"/>
  <c r="I25" i="2" s="1"/>
  <c r="I41" i="2"/>
  <c r="H39" i="2"/>
  <c r="H42" i="2" s="1"/>
  <c r="H40" i="2"/>
  <c r="H41" i="2"/>
  <c r="G39" i="2"/>
  <c r="G25" i="2" s="1"/>
  <c r="G40" i="2"/>
  <c r="G41" i="2"/>
  <c r="F39" i="2"/>
  <c r="F42" i="2" s="1"/>
  <c r="F40" i="2"/>
  <c r="F41" i="2"/>
  <c r="E39" i="2"/>
  <c r="E42" i="2" s="1"/>
  <c r="E40" i="2"/>
  <c r="E25" i="2" s="1"/>
  <c r="E41" i="2"/>
  <c r="D39" i="2"/>
  <c r="D42" i="2" s="1"/>
  <c r="D40" i="2"/>
  <c r="D41" i="2"/>
  <c r="C39" i="2"/>
  <c r="C25" i="2" s="1"/>
  <c r="C40" i="2"/>
  <c r="C41" i="2"/>
  <c r="B39" i="2"/>
  <c r="B42" i="2" s="1"/>
  <c r="B40" i="2"/>
  <c r="B41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B25" i="2"/>
  <c r="X25" i="2"/>
  <c r="T25" i="2"/>
  <c r="P25" i="2"/>
  <c r="L25" i="2"/>
  <c r="H25" i="2"/>
  <c r="D2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B25" i="2" l="1"/>
  <c r="F25" i="2"/>
  <c r="J25" i="2"/>
  <c r="N25" i="2"/>
  <c r="R25" i="2"/>
  <c r="V25" i="2"/>
  <c r="Z25" i="2"/>
  <c r="C42" i="2"/>
  <c r="G42" i="2"/>
  <c r="K42" i="2"/>
  <c r="O42" i="2"/>
  <c r="S42" i="2"/>
  <c r="W42" i="2"/>
  <c r="AA42" i="2"/>
</calcChain>
</file>

<file path=xl/sharedStrings.xml><?xml version="1.0" encoding="utf-8"?>
<sst xmlns="http://schemas.openxmlformats.org/spreadsheetml/2006/main" count="5507" uniqueCount="599">
  <si>
    <t>Abundance Measures</t>
  </si>
  <si>
    <t>Corrected Abundance</t>
  </si>
  <si>
    <t>EPT Abundance</t>
  </si>
  <si>
    <t>Dominance Measures</t>
  </si>
  <si>
    <t>1st Dominant Taxon</t>
  </si>
  <si>
    <t>1st Dominant Abundance</t>
  </si>
  <si>
    <t>2nd Dominant Taxon</t>
  </si>
  <si>
    <t>2nd Dominant Abundance</t>
  </si>
  <si>
    <t>3rd Dominant Taxon</t>
  </si>
  <si>
    <t>3rd Dominant Abundance</t>
  </si>
  <si>
    <t>% 1 Dominant Taxon</t>
  </si>
  <si>
    <t>% 2 Dominant Taxa</t>
  </si>
  <si>
    <t>% 3 Dominant Taxa</t>
  </si>
  <si>
    <t>Richness Measures</t>
  </si>
  <si>
    <t>Species Richness</t>
  </si>
  <si>
    <t>EPT Richness</t>
  </si>
  <si>
    <t>Ephemeroptera Richness</t>
  </si>
  <si>
    <t>Plecoptera Richness</t>
  </si>
  <si>
    <t>Trichoptera Richness</t>
  </si>
  <si>
    <t>Chironomidae Richness</t>
  </si>
  <si>
    <t>Oligochaeta Richness</t>
  </si>
  <si>
    <t>Non-Chiro. Non-Olig. Richness</t>
  </si>
  <si>
    <t>Community Composition</t>
  </si>
  <si>
    <t>% Ephemeroptera</t>
  </si>
  <si>
    <t>% Plecoptera</t>
  </si>
  <si>
    <t>% Trichoptera</t>
  </si>
  <si>
    <t>% EPT</t>
  </si>
  <si>
    <t>% Diptera</t>
  </si>
  <si>
    <t>% Oligochaeta</t>
  </si>
  <si>
    <t>% Baetidae</t>
  </si>
  <si>
    <t>% Chironomidae</t>
  </si>
  <si>
    <t>% Odonata</t>
  </si>
  <si>
    <t>Functional Group Composition</t>
  </si>
  <si>
    <t>% Predators</t>
  </si>
  <si>
    <t>% Scrapers</t>
  </si>
  <si>
    <t>% Unclassified</t>
  </si>
  <si>
    <t>Gatherer Richness</t>
  </si>
  <si>
    <t>Piercer-Herbivore Richness</t>
  </si>
  <si>
    <t>Unclassified</t>
  </si>
  <si>
    <t>Diversity/Evenness Measures</t>
  </si>
  <si>
    <t>Biotic Indices</t>
  </si>
  <si>
    <t>Hilsenhoff Biotic Index</t>
  </si>
  <si>
    <t>% Shredder-Herbivores</t>
  </si>
  <si>
    <t>% Collector-Gatherers</t>
  </si>
  <si>
    <t>% MH</t>
  </si>
  <si>
    <t>% CF</t>
  </si>
  <si>
    <t>% OM</t>
  </si>
  <si>
    <t>% PA</t>
  </si>
  <si>
    <t>% Piercer-Herbivore</t>
  </si>
  <si>
    <t>% Gatherer</t>
  </si>
  <si>
    <t>Predators Richness</t>
  </si>
  <si>
    <t>Shredder-Herbivores  Richness</t>
  </si>
  <si>
    <t>Collector-Gatherers  Richness</t>
  </si>
  <si>
    <t>Scrapers Richness</t>
  </si>
  <si>
    <t>MH Richness</t>
  </si>
  <si>
    <t>CF Richness</t>
  </si>
  <si>
    <t>OM Richness</t>
  </si>
  <si>
    <t>PA Richness</t>
  </si>
  <si>
    <t>Functional Group Richness</t>
  </si>
  <si>
    <t>Simpson's Index (D)</t>
  </si>
  <si>
    <t>Simpson's Index of Diversity (1 - D)</t>
  </si>
  <si>
    <t>Simpson's Reciprocal Index (1/D)</t>
  </si>
  <si>
    <t>suesalter@shaw.ca</t>
  </si>
  <si>
    <t>250-494-7553</t>
  </si>
  <si>
    <t>Project</t>
  </si>
  <si>
    <t>Taxonomist: Sue Salter</t>
  </si>
  <si>
    <t>Site:</t>
  </si>
  <si>
    <t>Sample:</t>
  </si>
  <si>
    <t>EMS:</t>
  </si>
  <si>
    <t>CC#:</t>
  </si>
  <si>
    <t>Client</t>
  </si>
  <si>
    <t>Site</t>
  </si>
  <si>
    <t>Sample</t>
  </si>
  <si>
    <t>EMS</t>
  </si>
  <si>
    <t>CC#</t>
  </si>
  <si>
    <t>Functional Feeding Groups</t>
  </si>
  <si>
    <t>ITIS Number</t>
  </si>
  <si>
    <t>Shannon-Weiner H' (log 10)</t>
  </si>
  <si>
    <t>Shannon-Weiner H' (log 2)</t>
  </si>
  <si>
    <t>Shannon-Weiner H' (log e)</t>
  </si>
  <si>
    <t>Total from Sample</t>
  </si>
  <si>
    <t xml:space="preserve">Percent Efficiency </t>
  </si>
  <si>
    <r>
      <rPr>
        <b/>
        <sz val="11"/>
        <color indexed="8"/>
        <rFont val="Calibri"/>
        <family val="2"/>
      </rPr>
      <t>Tolerance</t>
    </r>
    <r>
      <rPr>
        <sz val="11"/>
        <color theme="1"/>
        <rFont val="Calibri"/>
        <family val="2"/>
        <scheme val="minor"/>
      </rPr>
      <t xml:space="preserve"> </t>
    </r>
  </si>
  <si>
    <t>SubSample %:</t>
  </si>
  <si>
    <t>Sieve Size:</t>
  </si>
  <si>
    <t>Project: Athabasca 2013</t>
  </si>
  <si>
    <t>EC (Saskatoon), Nancy Glozier</t>
  </si>
  <si>
    <t>Ells Riff</t>
  </si>
  <si>
    <t>Stb Riff</t>
  </si>
  <si>
    <t>Stb</t>
  </si>
  <si>
    <t>WSC</t>
  </si>
  <si>
    <t>CC140104</t>
  </si>
  <si>
    <t>CC140105</t>
  </si>
  <si>
    <t>CC140106</t>
  </si>
  <si>
    <t>CC140107</t>
  </si>
  <si>
    <t>CC140109</t>
  </si>
  <si>
    <t>CC140110</t>
  </si>
  <si>
    <t>CC140111</t>
  </si>
  <si>
    <t>CC140112</t>
  </si>
  <si>
    <t>CC140113</t>
  </si>
  <si>
    <t>CC140115</t>
  </si>
  <si>
    <t>CC140116</t>
  </si>
  <si>
    <t>CC140117</t>
  </si>
  <si>
    <t>CC140118</t>
  </si>
  <si>
    <t>CC140120</t>
  </si>
  <si>
    <t>CC140158</t>
  </si>
  <si>
    <t>CC140159</t>
  </si>
  <si>
    <t>CC140160</t>
  </si>
  <si>
    <t>CC140166</t>
  </si>
  <si>
    <t>CC140167</t>
  </si>
  <si>
    <t>CC140168</t>
  </si>
  <si>
    <t>CC140169</t>
  </si>
  <si>
    <t>CC140173</t>
  </si>
  <si>
    <t>CC140174</t>
  </si>
  <si>
    <t>CC140175</t>
  </si>
  <si>
    <t>CC140176</t>
  </si>
  <si>
    <t>CC140177</t>
  </si>
  <si>
    <t>CC140179</t>
  </si>
  <si>
    <t>CC140180</t>
  </si>
  <si>
    <t/>
  </si>
  <si>
    <t>Haploperla sp.</t>
  </si>
  <si>
    <t>Phylum: Arthropoda</t>
  </si>
  <si>
    <t>Subphylum: Hexapoda</t>
  </si>
  <si>
    <t>| Class: Insecta</t>
  </si>
  <si>
    <t>|  Order: Ephemeroptera</t>
  </si>
  <si>
    <t>|   Family: Ameletidae</t>
  </si>
  <si>
    <t>Ameletus</t>
  </si>
  <si>
    <t>|   Family: Ametropodidae</t>
  </si>
  <si>
    <t>Ametropus sp.</t>
  </si>
  <si>
    <t>|   Family: Baetidae</t>
  </si>
  <si>
    <t>Acentrella insignificans</t>
  </si>
  <si>
    <t>Acentrella parvula</t>
  </si>
  <si>
    <t>Acentrella sp.</t>
  </si>
  <si>
    <t>Acentrella turbida</t>
  </si>
  <si>
    <t>Acerpenna pygmaea</t>
  </si>
  <si>
    <t>Baetis bicaudatus</t>
  </si>
  <si>
    <t>Baetis flavistriga</t>
  </si>
  <si>
    <t>Baetis sp.</t>
  </si>
  <si>
    <t>Baetis tricaudatus</t>
  </si>
  <si>
    <t>Baetis tricaudatus group</t>
  </si>
  <si>
    <t>Centroptilum sp.</t>
  </si>
  <si>
    <t>Diphetor hageni</t>
  </si>
  <si>
    <t>Heterocloeon sp.</t>
  </si>
  <si>
    <t>Iswaeon sp.</t>
  </si>
  <si>
    <t>Labiobaetis sp.</t>
  </si>
  <si>
    <t>Plauditus sp.</t>
  </si>
  <si>
    <t>|   Family: Baetiscidae</t>
  </si>
  <si>
    <t>Baetisca sp.</t>
  </si>
  <si>
    <t>|   Family: Caenidae</t>
  </si>
  <si>
    <t>Caenis sp.</t>
  </si>
  <si>
    <t>Sparbarus sp.</t>
  </si>
  <si>
    <t>|   Family: Ephemerellidae</t>
  </si>
  <si>
    <t>Attenella margarita</t>
  </si>
  <si>
    <t>Dannella simplex</t>
  </si>
  <si>
    <t>Dannella sp.</t>
  </si>
  <si>
    <t>Drunella grandis</t>
  </si>
  <si>
    <t>Drunella grandis group</t>
  </si>
  <si>
    <t>Drunella sp.</t>
  </si>
  <si>
    <t>Ephemerella dorothea/excrucians</t>
  </si>
  <si>
    <t>Ephemerella excrucians</t>
  </si>
  <si>
    <t>Ephemerella sp.</t>
  </si>
  <si>
    <t>Ephemerella tibialis</t>
  </si>
  <si>
    <t>Eurylophella</t>
  </si>
  <si>
    <t>Serratella sp.</t>
  </si>
  <si>
    <t>|   Family: Ephemeridae</t>
  </si>
  <si>
    <t>Ephemera simulans</t>
  </si>
  <si>
    <t>Hexagenia limbata</t>
  </si>
  <si>
    <t>|   Family: Heptageniidae</t>
  </si>
  <si>
    <t>Ecdyonurus simplicoides</t>
  </si>
  <si>
    <t>Heptagenia sp.</t>
  </si>
  <si>
    <t>Leucrocuta sp.</t>
  </si>
  <si>
    <t>Maccaffertium sp.</t>
  </si>
  <si>
    <t>Rhithrogena sp.</t>
  </si>
  <si>
    <t>|   Family: Leptohyphidae</t>
  </si>
  <si>
    <t>Tricorythodes sp.</t>
  </si>
  <si>
    <t>|   Family: Leptophlebiidae</t>
  </si>
  <si>
    <t>Leptophlebia sp.</t>
  </si>
  <si>
    <t>Paraleptophlebia sp.</t>
  </si>
  <si>
    <t>|   Family: Siphlonuridae</t>
  </si>
  <si>
    <t>Siphlonurus sp.</t>
  </si>
  <si>
    <t>|  Order: Plecoptera</t>
  </si>
  <si>
    <t>|   Family: Capniidae</t>
  </si>
  <si>
    <t>|   Family: Chloroperlidae</t>
  </si>
  <si>
    <t>Suwallia sp.</t>
  </si>
  <si>
    <t>|   Family: Leuctridae</t>
  </si>
  <si>
    <t>|   Family: Nemouridae</t>
  </si>
  <si>
    <t>Amphinemura sp.</t>
  </si>
  <si>
    <t>Nemoura</t>
  </si>
  <si>
    <t>Zapada cinctipes</t>
  </si>
  <si>
    <t>Zapada sp.</t>
  </si>
  <si>
    <t>|   Family: Perlidae</t>
  </si>
  <si>
    <t>Acroneuria sp.</t>
  </si>
  <si>
    <t>Claassenia sabulosa</t>
  </si>
  <si>
    <t>Hesperoperla pacifica</t>
  </si>
  <si>
    <t>|   Family: Perlodidae</t>
  </si>
  <si>
    <t>Hydroperla sp.</t>
  </si>
  <si>
    <t>Isogenoides sp.</t>
  </si>
  <si>
    <t>Isoperla sp.</t>
  </si>
  <si>
    <t>Skwala sp.</t>
  </si>
  <si>
    <t>|   Family: Pteronarcyidae</t>
  </si>
  <si>
    <t>Pteronarcella sp.</t>
  </si>
  <si>
    <t>Pteronarcys dorsata</t>
  </si>
  <si>
    <t>Pteronarcys sp.</t>
  </si>
  <si>
    <t>|   Family: Taeniopterygidae</t>
  </si>
  <si>
    <t>Taeniopteryx sp.</t>
  </si>
  <si>
    <t>|  Order: Trichoptera</t>
  </si>
  <si>
    <t>|   Family: Brachycentridae</t>
  </si>
  <si>
    <t>Brachycentrus americanus</t>
  </si>
  <si>
    <t>Brachycentrus occidentalis</t>
  </si>
  <si>
    <t>Brachycentrus sp.</t>
  </si>
  <si>
    <t>Micrasema sp.</t>
  </si>
  <si>
    <t>|   Family: Glossosomatidae</t>
  </si>
  <si>
    <t>Glossosoma sp.</t>
  </si>
  <si>
    <t>Protoptila sp.</t>
  </si>
  <si>
    <t>|   Family: Helicopsychidae</t>
  </si>
  <si>
    <t>Helicopsyche sp.</t>
  </si>
  <si>
    <t>|   Family: Hydropsychidae</t>
  </si>
  <si>
    <t>Arctopsyche grandis</t>
  </si>
  <si>
    <t>Arctopsyche ladogensis</t>
  </si>
  <si>
    <t>Cheumatopsyche sp.</t>
  </si>
  <si>
    <t>Hydropsyche sp.</t>
  </si>
  <si>
    <t>|   Family: Hydroptilidae</t>
  </si>
  <si>
    <t>Agraylea sp.</t>
  </si>
  <si>
    <t>Hydroptila sp.</t>
  </si>
  <si>
    <t>Mayatrichia sp.</t>
  </si>
  <si>
    <t>Neotrichia sp.</t>
  </si>
  <si>
    <t>Ochrotrichia sp.</t>
  </si>
  <si>
    <t>Oxyethira sp.</t>
  </si>
  <si>
    <t>|   Family: Lepidostomatidae</t>
  </si>
  <si>
    <t>Lepidostoma sp.</t>
  </si>
  <si>
    <t>|   Family: Leptoceridae</t>
  </si>
  <si>
    <t>Ceraclea sp.</t>
  </si>
  <si>
    <t>Nectopsyche sp.</t>
  </si>
  <si>
    <t>Oecetis sp.</t>
  </si>
  <si>
    <t>|   Family: Limnephilidae</t>
  </si>
  <si>
    <t>Hydatophylax argus</t>
  </si>
  <si>
    <t>Hydatophylax hesperus</t>
  </si>
  <si>
    <t>Nemotaulius sp.</t>
  </si>
  <si>
    <t>|   Family: Philopotamidae</t>
  </si>
  <si>
    <t>Chimarra sp.</t>
  </si>
  <si>
    <t>Wormaldia sp.</t>
  </si>
  <si>
    <t>|   Family: Polycentropodidae</t>
  </si>
  <si>
    <t>Neureclipsis sp.</t>
  </si>
  <si>
    <t>|   Family: Psychomyiidae</t>
  </si>
  <si>
    <t>Psychomyia sp.</t>
  </si>
  <si>
    <t>|  Order: Coleoptera</t>
  </si>
  <si>
    <t>|   Family: Dytiscidae</t>
  </si>
  <si>
    <t>Liodessus sp.</t>
  </si>
  <si>
    <t>Stictotarsus sp.</t>
  </si>
  <si>
    <t>|   Family: Elmidae</t>
  </si>
  <si>
    <t>Dubiraphia sp.</t>
  </si>
  <si>
    <t>Optioservus sp.</t>
  </si>
  <si>
    <t>|   Family: Haliplidae</t>
  </si>
  <si>
    <t>Haliplus sp.</t>
  </si>
  <si>
    <t>|   Family: Hydrophilidae</t>
  </si>
  <si>
    <t>Hydrochus sp.</t>
  </si>
  <si>
    <t>|  Order: Diptera</t>
  </si>
  <si>
    <t>|   Family: Athericidae</t>
  </si>
  <si>
    <t>Atherix</t>
  </si>
  <si>
    <t>|   Family: Ceratopogonidae</t>
  </si>
  <si>
    <t>Bezzia/ Palpomyia</t>
  </si>
  <si>
    <t>Culicoides sp.</t>
  </si>
  <si>
    <t>Dasyhelea sp.</t>
  </si>
  <si>
    <t>Mallochohelea</t>
  </si>
  <si>
    <t>Probezzia sp.</t>
  </si>
  <si>
    <t>Sphaeromias sp.</t>
  </si>
  <si>
    <t>|   Family: Chironomidae</t>
  </si>
  <si>
    <t>|    Subfamily: Chironominae</t>
  </si>
  <si>
    <t>|     Tribe: Chironomini</t>
  </si>
  <si>
    <t>Cryptochironomus sp.</t>
  </si>
  <si>
    <t>Demicryptochironomus sp.</t>
  </si>
  <si>
    <t>Microtendipes pedellus</t>
  </si>
  <si>
    <t>Microtendipes sp.</t>
  </si>
  <si>
    <t>Parachironomus sp.</t>
  </si>
  <si>
    <t>Phaenopsectra sp.</t>
  </si>
  <si>
    <t>Polypedilum sp.</t>
  </si>
  <si>
    <t>Robackia demeijerei</t>
  </si>
  <si>
    <t>Saetheria sp.</t>
  </si>
  <si>
    <t>Stenochironomus sp.</t>
  </si>
  <si>
    <t>Stictochironomus sp.</t>
  </si>
  <si>
    <t>Zavrelia sp.</t>
  </si>
  <si>
    <t>|     Tribe: Tanytarsini</t>
  </si>
  <si>
    <t>Cladotanytarsus sp.</t>
  </si>
  <si>
    <t>Micropsectra sp.</t>
  </si>
  <si>
    <t>Rheotanytarsus sp.</t>
  </si>
  <si>
    <t>Stempellina sp.</t>
  </si>
  <si>
    <t>Stempellinella sp.</t>
  </si>
  <si>
    <t>Sublettea sp.</t>
  </si>
  <si>
    <t>Tanytarsus sp.</t>
  </si>
  <si>
    <t>|    Subfamily: Diamesinae</t>
  </si>
  <si>
    <t>|     Tribe: Diamesini</t>
  </si>
  <si>
    <t>Diamesa sp.</t>
  </si>
  <si>
    <t>Potthastia longimana group</t>
  </si>
  <si>
    <t>Potthastia sp.</t>
  </si>
  <si>
    <t>Pseudodiamesa sp.</t>
  </si>
  <si>
    <t>|    Subfamily: Orthocladiinae</t>
  </si>
  <si>
    <t>Brillia sp.</t>
  </si>
  <si>
    <t>Cardiocladius sp.</t>
  </si>
  <si>
    <t>Cricotopus (Nostococladius)</t>
  </si>
  <si>
    <t>Cricotopus bicinctus</t>
  </si>
  <si>
    <t>Cricotopus sp.</t>
  </si>
  <si>
    <t>Cricotopus trifascia</t>
  </si>
  <si>
    <t>Eukiefferiella sp.</t>
  </si>
  <si>
    <t>Heterotrissocladius sp.</t>
  </si>
  <si>
    <t>Krenosmittia sp.</t>
  </si>
  <si>
    <t>Limnophyes sp.</t>
  </si>
  <si>
    <t>Lopescladius sp.</t>
  </si>
  <si>
    <t>Nanocladius sp.</t>
  </si>
  <si>
    <t>Orthocladius sp.</t>
  </si>
  <si>
    <t>Parachaetocladius sp.</t>
  </si>
  <si>
    <t>Parakiefferiella sp.</t>
  </si>
  <si>
    <t>Parametriocnemus sp.</t>
  </si>
  <si>
    <t>Pseudosmittia sp.</t>
  </si>
  <si>
    <t>Rheocricotopus sp.</t>
  </si>
  <si>
    <t>Rheosmittia sp.</t>
  </si>
  <si>
    <t>Synorthocladius sp.</t>
  </si>
  <si>
    <t>Thienemanniella</t>
  </si>
  <si>
    <t>Tvetenia sp.</t>
  </si>
  <si>
    <t>Zalutschia sp.</t>
  </si>
  <si>
    <t>|     Tribe: Corynoneurini</t>
  </si>
  <si>
    <t>Corynoneura sp.</t>
  </si>
  <si>
    <t>Thienemanniella sp.</t>
  </si>
  <si>
    <t>|    Subfamily: Tanypodinae</t>
  </si>
  <si>
    <t>|     Tribe: Pentaneuriini</t>
  </si>
  <si>
    <t>|     Tribe: Pentaneurini</t>
  </si>
  <si>
    <t>Ablabesmyia sp.</t>
  </si>
  <si>
    <t>Labrundinia sp.</t>
  </si>
  <si>
    <t>Larsia sp.</t>
  </si>
  <si>
    <t>Nilotanypus sp.</t>
  </si>
  <si>
    <t>Thienemannimyia group</t>
  </si>
  <si>
    <t>Zavrelimyia sp.</t>
  </si>
  <si>
    <t>|   Family: Dolichopodidae</t>
  </si>
  <si>
    <t>Rhaphium sp.</t>
  </si>
  <si>
    <t>|   Family: Empididae</t>
  </si>
  <si>
    <t>Chelifera/ Metachela</t>
  </si>
  <si>
    <t>Hemerodromia sp.</t>
  </si>
  <si>
    <t>Neoplasta sp.</t>
  </si>
  <si>
    <t>Roederiodes sp</t>
  </si>
  <si>
    <t>|   Family: Muscidae</t>
  </si>
  <si>
    <t>Limnophora sp.</t>
  </si>
  <si>
    <t>|   Family: Psychodidae</t>
  </si>
  <si>
    <t>Pericoma/Telmatoscopus sp.</t>
  </si>
  <si>
    <t>|   Family: Simuliidae</t>
  </si>
  <si>
    <t>Simulium sp.</t>
  </si>
  <si>
    <t>|   Family: Tabanidae</t>
  </si>
  <si>
    <t>|   Family: Tipulidae</t>
  </si>
  <si>
    <t>Antocha sp.</t>
  </si>
  <si>
    <t>Dicranota sp.</t>
  </si>
  <si>
    <t>Hexatoma sp.</t>
  </si>
  <si>
    <t>Limnophila sp.</t>
  </si>
  <si>
    <t>Ormosia sp.</t>
  </si>
  <si>
    <t>Rhabdomastix sp.</t>
  </si>
  <si>
    <t>Tipula sp.</t>
  </si>
  <si>
    <t>|  Order: Hemiptera</t>
  </si>
  <si>
    <t>|   Family: Corixidae</t>
  </si>
  <si>
    <t>Hesperocorixa sp.</t>
  </si>
  <si>
    <t>Sigara sp.</t>
  </si>
  <si>
    <t>|  Order: Lepidoptera</t>
  </si>
  <si>
    <t>|  Order: Odonata</t>
  </si>
  <si>
    <t>|   Family: Aeshnidae</t>
  </si>
  <si>
    <t>Aeshna sp.</t>
  </si>
  <si>
    <t>|   Family: Coenagrionidae</t>
  </si>
  <si>
    <t>|   Family: Corduliidae</t>
  </si>
  <si>
    <t>|   Family: Gomphidae</t>
  </si>
  <si>
    <t>Ophiogomphus sp.</t>
  </si>
  <si>
    <t>Subphylum: Crustacea</t>
  </si>
  <si>
    <t>| Class: Malacostraca</t>
  </si>
  <si>
    <t>|  Order: Amphipoda</t>
  </si>
  <si>
    <t>|   Family: Crangonyctidae</t>
  </si>
  <si>
    <t>Crangonyx sp.</t>
  </si>
  <si>
    <t>|   Family: Gammaridae</t>
  </si>
  <si>
    <t>Gammarus sp.</t>
  </si>
  <si>
    <t>|   Family: Hyalellidae</t>
  </si>
  <si>
    <t>Hyalella sp.</t>
  </si>
  <si>
    <t>Subphylum: Chelicerata</t>
  </si>
  <si>
    <t>| Class: Arachnida</t>
  </si>
  <si>
    <t>|  Order: Trombidiformes</t>
  </si>
  <si>
    <t>|   Family: Aturidae</t>
  </si>
  <si>
    <t>Aturus sp.</t>
  </si>
  <si>
    <t>|   Family: Hydryphantidae</t>
  </si>
  <si>
    <t>Protzia sp.</t>
  </si>
  <si>
    <t>|   Family: Hygrobatidae</t>
  </si>
  <si>
    <t>Atractides sp.</t>
  </si>
  <si>
    <t>Hygrobates sp.</t>
  </si>
  <si>
    <t>|   Family: Lebertiidae</t>
  </si>
  <si>
    <t>Lebertia sp.</t>
  </si>
  <si>
    <t>|   Family: Limnesiidae</t>
  </si>
  <si>
    <t>Limnesia sp.</t>
  </si>
  <si>
    <t>|   Family: Mideopsidae</t>
  </si>
  <si>
    <t>Mideopsis sp.</t>
  </si>
  <si>
    <t>|   Family: Sperchontidae</t>
  </si>
  <si>
    <t>Sperchon sp.</t>
  </si>
  <si>
    <t>Sperchonopsis sp.</t>
  </si>
  <si>
    <t>|   Family: Torrenticolidae</t>
  </si>
  <si>
    <t>Testudacarus sp.</t>
  </si>
  <si>
    <t>Torrenticola sp.</t>
  </si>
  <si>
    <t>|  Order: Sarcoptiformes</t>
  </si>
  <si>
    <t>|   Family: Hydrozetidae</t>
  </si>
  <si>
    <t>Phylum: Mollusca</t>
  </si>
  <si>
    <t>| Class: Bivalvia</t>
  </si>
  <si>
    <t>|  Order: Veneroida</t>
  </si>
  <si>
    <t>|   Family: Pisidiidae</t>
  </si>
  <si>
    <t>Pisidium sp.</t>
  </si>
  <si>
    <t>Sphaerium sp.</t>
  </si>
  <si>
    <t>| Class: Gastropoda</t>
  </si>
  <si>
    <t>|  Order: Basommatophora</t>
  </si>
  <si>
    <t>|   Family: Ancylidae</t>
  </si>
  <si>
    <t>Ferrissia sp.</t>
  </si>
  <si>
    <t>|   Family: Lymnaeidae</t>
  </si>
  <si>
    <t>Fossaria sp.</t>
  </si>
  <si>
    <t>Lymnaea sp.</t>
  </si>
  <si>
    <t>Stagnicola sp.</t>
  </si>
  <si>
    <t>|   Family: Physidae</t>
  </si>
  <si>
    <t>Physa sp.</t>
  </si>
  <si>
    <t>|   Family: Planorbidae</t>
  </si>
  <si>
    <t>Gyraulus sp.</t>
  </si>
  <si>
    <t>Promenetus sp.</t>
  </si>
  <si>
    <t>Phylum: Annelida</t>
  </si>
  <si>
    <t>Subphylum: Clitellata</t>
  </si>
  <si>
    <t>| Class: Hirudinea</t>
  </si>
  <si>
    <t>|  Order: Arhynchobdellida</t>
  </si>
  <si>
    <t>|   Family: Erpobdellidae</t>
  </si>
  <si>
    <t>Erpobdella sp.</t>
  </si>
  <si>
    <t>|  Order: Rhynchobdellida</t>
  </si>
  <si>
    <t>|   Family: Glossiphoniidae</t>
  </si>
  <si>
    <t>| Class: Oligochaeta</t>
  </si>
  <si>
    <t>|  Order: Lumbriculida</t>
  </si>
  <si>
    <t>|   Family: Lumbriculidae</t>
  </si>
  <si>
    <t>|  Order: Tubificida</t>
  </si>
  <si>
    <t>|   Family: Enchytraeidae</t>
  </si>
  <si>
    <t>Enchytraeus</t>
  </si>
  <si>
    <t>Fridericia</t>
  </si>
  <si>
    <t>Mesenchytraeus sp.</t>
  </si>
  <si>
    <t>|   Family: Lumbricidae</t>
  </si>
  <si>
    <t>|   Family: Naididae</t>
  </si>
  <si>
    <t>Nais sp.</t>
  </si>
  <si>
    <t>Ophidonais serpentina</t>
  </si>
  <si>
    <t>Pristina sp.</t>
  </si>
  <si>
    <t>Slavina appendiculata</t>
  </si>
  <si>
    <t>|   Family: Tubificidae</t>
  </si>
  <si>
    <t>Limnodrilus sp.</t>
  </si>
  <si>
    <t>|    Subfamily: Tubificinae immature</t>
  </si>
  <si>
    <t>Totals:</t>
  </si>
  <si>
    <t>Taxa present but not included:</t>
  </si>
  <si>
    <t>| Class: Ostracoda</t>
  </si>
  <si>
    <t>| Class: Branchiopoda</t>
  </si>
  <si>
    <t>|  Order: Cladocera</t>
  </si>
  <si>
    <t>|   Family: Daphniidae</t>
  </si>
  <si>
    <t>Daphnia sp.</t>
  </si>
  <si>
    <t>Phylum: Nemata</t>
  </si>
  <si>
    <t>Heptageniidae</t>
  </si>
  <si>
    <t>Ephemerellidae</t>
  </si>
  <si>
    <t>Tubificidae</t>
  </si>
  <si>
    <t>Pisidiidae</t>
  </si>
  <si>
    <t>Hydropsychidae</t>
  </si>
  <si>
    <t>Chironomidae</t>
  </si>
  <si>
    <t>None</t>
  </si>
  <si>
    <t>Larvae</t>
  </si>
  <si>
    <t>Juvenile/Damaged</t>
  </si>
  <si>
    <t>Perlodidae</t>
  </si>
  <si>
    <t>Hydrozetidae</t>
  </si>
  <si>
    <t>Adult</t>
  </si>
  <si>
    <t>Tubificinae immature</t>
  </si>
  <si>
    <t>Total:</t>
  </si>
  <si>
    <t>Perlidae</t>
  </si>
  <si>
    <t>Lepidoptera</t>
  </si>
  <si>
    <t>Leptophlebiidae</t>
  </si>
  <si>
    <t>Empididae</t>
  </si>
  <si>
    <t>Gomphidae</t>
  </si>
  <si>
    <t>Lymnaeidae</t>
  </si>
  <si>
    <t>Planorbidae</t>
  </si>
  <si>
    <t>Naididae</t>
  </si>
  <si>
    <t>Trichoptera</t>
  </si>
  <si>
    <t>Lumbriculidae</t>
  </si>
  <si>
    <t>Baetidae</t>
  </si>
  <si>
    <t>Site - Ells Riff Sample - 02, CC# - CC140104, Percent sampled = 9, Sieve size = 400</t>
  </si>
  <si>
    <t>Pteronarcyidae</t>
  </si>
  <si>
    <t>Tanypodinae</t>
  </si>
  <si>
    <t>Site - Ells Riff Sample - 02, CC# - CC140105, Percent sampled = 10, Sieve size = 400</t>
  </si>
  <si>
    <t>Simuliidae</t>
  </si>
  <si>
    <t>Pupa</t>
  </si>
  <si>
    <t>Brachycentridae</t>
  </si>
  <si>
    <t>Hydroptilidae</t>
  </si>
  <si>
    <t>Trombidiformes</t>
  </si>
  <si>
    <t>Site - Ells Riff Sample - 02, CC# - CC140106, Percent sampled = 7, Sieve size = 400</t>
  </si>
  <si>
    <t>Site - Ells Riff Sample - 02, CC# - CC140107, Percent sampled = 7, Sieve size = 400</t>
  </si>
  <si>
    <t>Ephemeroptera</t>
  </si>
  <si>
    <t>Chloroperlidae</t>
  </si>
  <si>
    <t>Site - Ells Riff Sample - 02, CC# - CC140109, Percent sampled = 5, Sieve size = 400</t>
  </si>
  <si>
    <t>Tipulidae</t>
  </si>
  <si>
    <t>Ceratopogonidae</t>
  </si>
  <si>
    <t>Gastropoda</t>
  </si>
  <si>
    <t>Site - Ells Riff Sample - 04, CC# - CC140110, Percent sampled = 5, Sieve size = 400</t>
  </si>
  <si>
    <t>one with Hydropsychidae in mouth</t>
  </si>
  <si>
    <t>Site - Ells Riff Sample - 04, CC# - CC140111, Percent sampled = 5, Sieve size = 400</t>
  </si>
  <si>
    <t>Site - Ells Riff Sample - 04, CC# - CC140112, Percent sampled = 10, Sieve size = 400</t>
  </si>
  <si>
    <t>Coenagrionidae</t>
  </si>
  <si>
    <t>Site - Ells Riff Sample - 04, CC# - CC140113, Percent sampled = 5, Sieve size = 400</t>
  </si>
  <si>
    <t>Oligochaeta</t>
  </si>
  <si>
    <t>Site - Ells Riff Sample - 04, CC# - CC140115, Percent sampled = 6, Sieve size = 400</t>
  </si>
  <si>
    <t>Site - Ells Riff Sample - 05, CC# - CC140116, Percent sampled = 5, Sieve size = 400</t>
  </si>
  <si>
    <t>Site - Ells Riff Sample - 05, CC# - CC140117, Percent sampled = 5, Sieve size = 400</t>
  </si>
  <si>
    <t>Philopotamidae</t>
  </si>
  <si>
    <t>Site - Ells Riff Sample - 05, CC# - CC140118, Percent sampled = 8, Sieve size = 400</t>
  </si>
  <si>
    <t>Psychomyiidae</t>
  </si>
  <si>
    <t>Site - Ells Riff Sample - 05, CC# - CC140120, Percent sampled = 6, Sieve size = 400</t>
  </si>
  <si>
    <t>Plecoptera</t>
  </si>
  <si>
    <t>Limnephilidae</t>
  </si>
  <si>
    <t>Nemouridae</t>
  </si>
  <si>
    <t>Tabanidae</t>
  </si>
  <si>
    <t>Site - Stb Riff Sample - 01, CC# - CC140158, Percent sampled = 22, Sieve size = 400</t>
  </si>
  <si>
    <t>Lumbricidae</t>
  </si>
  <si>
    <t>Site - Stb Riff Sample - 01, CC# - CC140159, Percent sampled = 100, Sieve size = 400</t>
  </si>
  <si>
    <t>Site - Stb Riff Sample - 01, CC# - CC140160, Percent sampled = 100, Sieve size = 400</t>
  </si>
  <si>
    <t>Tubificinae</t>
  </si>
  <si>
    <t>tubificinae</t>
  </si>
  <si>
    <t>Site - Stb Riff Sample - 07, CC# - CC140166, Percent sampled = 27, Sieve size = 400</t>
  </si>
  <si>
    <t>pottastia longimana gr.</t>
  </si>
  <si>
    <t>thienemannimyia gr.</t>
  </si>
  <si>
    <t>8 Ceratopogoninae, 1 Dasyheleinae</t>
  </si>
  <si>
    <t>Site - Stb Riff Sample - 07, CC# - CC140167, Percent sampled = 19, Sieve size = 400</t>
  </si>
  <si>
    <t>cricotopus (cricotopus)</t>
  </si>
  <si>
    <t>1 Eukiefferiella, 3 Eukiefferiella/Pseudomontana Gr.</t>
  </si>
  <si>
    <t>neostempinella reissi</t>
  </si>
  <si>
    <t>Potthastia Gaedii Gr.</t>
  </si>
  <si>
    <t>tvetiena bavarica gr.</t>
  </si>
  <si>
    <t>Site - Stb Riff Sample - 07, CC# - CC140168, Percent sampled = 11, Sieve size = 400</t>
  </si>
  <si>
    <t>1 adult, 5 thienemannimyia gr., 3 orthocladiinae</t>
  </si>
  <si>
    <t>2 eukiefferiella devonica gr., 2 eukiefferiella, 2 eukiefferiella claripennis gr.</t>
  </si>
  <si>
    <t>potthastia longimana gr.</t>
  </si>
  <si>
    <t>6 tvetenia, 12 tventenia bavarica gr.</t>
  </si>
  <si>
    <t>Site - Stb Riff Sample - 07, CC# - CC140169, Percent sampled = 26, Sieve size = 400</t>
  </si>
  <si>
    <t>tventenia bavarica gr.</t>
  </si>
  <si>
    <t>Capniidae</t>
  </si>
  <si>
    <t>ceratopogoninae</t>
  </si>
  <si>
    <t>tvetenia bavarica gr.</t>
  </si>
  <si>
    <t>Site - Stb Riff Sample - 10, CC# - CC140173, Percent sampled = 20, Sieve size = 400</t>
  </si>
  <si>
    <t>3 orthocladiinae sp. (RAI Taxon #0011) 2 neostempellina reissi</t>
  </si>
  <si>
    <t>Site - Stb Riff Sample - 10, CC# - CC140174, Percent sampled = 16, Sieve size = 400</t>
  </si>
  <si>
    <t>terrestrial</t>
  </si>
  <si>
    <t>Athericidae</t>
  </si>
  <si>
    <t>7 ceratopogonidae, 1 dasyheleinae, 10 ceratopogoninae</t>
  </si>
  <si>
    <t>2 cricotopus (cricotopus), 1 cricotopus (nostocladius)</t>
  </si>
  <si>
    <t>1 potthastia gaedi gr., 1 potthastia longimana gr.</t>
  </si>
  <si>
    <t>Site - Stb Riff Sample - 10, CC# - CC140175, Percent sampled = 17, Sieve size = 400</t>
  </si>
  <si>
    <t>cricotopus (nostococladius)</t>
  </si>
  <si>
    <t>eukiefferiella pseudomontana gr.</t>
  </si>
  <si>
    <t>Site - Stb Riff Sample - 10, CC# - CC140176, Percent sampled = 16, Sieve size = 400</t>
  </si>
  <si>
    <t>neostempellina reissi</t>
  </si>
  <si>
    <t>Leuctridae</t>
  </si>
  <si>
    <t>Site - Stb Riff Sample - 10, CC# - CC140177, Percent sampled = 29, Sieve size = 400</t>
  </si>
  <si>
    <t>1 neostempellina reissi, 1 thienemannimyia gr.</t>
  </si>
  <si>
    <t>Arachnida</t>
  </si>
  <si>
    <t>Site - Stb Sample - WSC, CC# - CC140179, Percent sampled = 20, Sieve size = 400</t>
  </si>
  <si>
    <t>1 chironomini, 7 thienemannimyia gr.</t>
  </si>
  <si>
    <t>Site - Stb Sample - WSC, CC# - CC140180, Percent sampled = 14, Sieve size = 400</t>
  </si>
  <si>
    <t>1 eukiefferiella, 2 eukiefferiella devonica gr.</t>
  </si>
  <si>
    <t>Leptohyphidae</t>
  </si>
  <si>
    <t>2 orthocladiinae, 4 thienemannimyia gr.</t>
  </si>
  <si>
    <t>3 tventenia, 33 tventenia bavarica gr.</t>
  </si>
  <si>
    <t>250 micron fraction</t>
  </si>
  <si>
    <t>400 micron fraction</t>
  </si>
  <si>
    <t>% Sampled</t>
  </si>
  <si>
    <t># Invertebrates</t>
  </si>
  <si>
    <t>EC (Saskatoon)</t>
  </si>
  <si>
    <t>Athabasca 2013</t>
  </si>
  <si>
    <t>100%</t>
  </si>
  <si>
    <t>5%</t>
  </si>
  <si>
    <t>9%</t>
  </si>
  <si>
    <t>6%</t>
  </si>
  <si>
    <t>20%</t>
  </si>
  <si>
    <t>10%</t>
  </si>
  <si>
    <t>7%</t>
  </si>
  <si>
    <t>8%</t>
  </si>
  <si>
    <t>27%</t>
  </si>
  <si>
    <t>19%</t>
  </si>
  <si>
    <t>16%</t>
  </si>
  <si>
    <t>22%</t>
  </si>
  <si>
    <t>17%</t>
  </si>
  <si>
    <t>11%</t>
  </si>
  <si>
    <t>26%</t>
  </si>
  <si>
    <t>29%</t>
  </si>
  <si>
    <t>14%</t>
  </si>
  <si>
    <t>Predator</t>
  </si>
  <si>
    <t>Collector-Gatherer</t>
  </si>
  <si>
    <t>Shredder-Herbivore</t>
  </si>
  <si>
    <t>Scraper</t>
  </si>
  <si>
    <t>Omnivore</t>
  </si>
  <si>
    <t>Macrophyte-Herbivore</t>
  </si>
  <si>
    <t>Collector-Filterer</t>
  </si>
  <si>
    <t>Piercer-Herbivore</t>
  </si>
  <si>
    <t>Site - QC Sample - QC 1, CC# - CC140104, Percent sampled = 9, Sieve size = 400</t>
  </si>
  <si>
    <t>Site - QC Sample - QC 7, CC# - CC140163, Percent sampled = 17, Sieve size = 400</t>
  </si>
  <si>
    <t>May</t>
  </si>
  <si>
    <t>June</t>
  </si>
  <si>
    <t>July</t>
  </si>
  <si>
    <t>August</t>
  </si>
  <si>
    <t>October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</si>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</sst>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7">
    <xf numFmtId="0" fontId="0" fillId="0" borderId="0" xfId="0"/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 applyProtection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2" applyFont="1"/>
    <xf numFmtId="0" fontId="4" fillId="0" borderId="0" xfId="2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" fontId="0" fillId="0" borderId="0" xfId="0" applyNumberForma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/>
    <xf numFmtId="9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right"/>
    </xf>
    <xf numFmtId="9" fontId="7" fillId="0" borderId="2" xfId="0" applyNumberFormat="1" applyFont="1" applyBorder="1" applyAlignment="1">
      <alignment horizontal="center"/>
    </xf>
    <xf numFmtId="0" fontId="6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0" fillId="2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ClientSummaryReportTemplate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0D9B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1027" name="Object 2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1029" name="Object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1341120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3074" name="Object 1" hidden="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3076" name="Object 1" hidden="1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3077" name="Picture 1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1341120</xdr:colOff>
          <xdr:row>1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1341120</xdr:colOff>
          <xdr:row>1</xdr:row>
          <xdr:rowOff>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2050" name="Object 1" hidden="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2052" name="Object 1" hidden="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2053" name="Picture 1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1341120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495300</xdr:rowOff>
    </xdr:to>
    <xdr:sp macro="" textlink="">
      <xdr:nvSpPr>
        <xdr:cNvPr id="5122" name="Object 1" hidden="1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495300</xdr:rowOff>
    </xdr:to>
    <xdr:pic>
      <xdr:nvPicPr>
        <xdr:cNvPr id="5123" name="Picture 1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495300</xdr:rowOff>
    </xdr:to>
    <xdr:sp macro="" textlink="">
      <xdr:nvSpPr>
        <xdr:cNvPr id="5124" name="Object 1" hidden="1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495300</xdr:rowOff>
    </xdr:to>
    <xdr:pic>
      <xdr:nvPicPr>
        <xdr:cNvPr id="5125" name="Picture 1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533400</xdr:colOff>
          <xdr:row>1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6146" name="Object 1" hidden="1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6147" name="Picture 1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6148" name="Object 1" hidden="1">
          <a:extLst>
            <a:ext uri="{FF2B5EF4-FFF2-40B4-BE49-F238E27FC236}">
              <a16:creationId xmlns:a16="http://schemas.microsoft.com/office/drawing/2014/main" id="{00000000-0008-0000-0500-0000041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6149" name="Picture 1">
          <a:extLst>
            <a:ext uri="{FF2B5EF4-FFF2-40B4-BE49-F238E27FC236}">
              <a16:creationId xmlns:a16="http://schemas.microsoft.com/office/drawing/2014/main" id="{00000000-0008-0000-0500-00000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1341120</xdr:colOff>
          <xdr:row>0</xdr:row>
          <xdr:rowOff>655320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8194" name="Object 1" hidden="1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8195" name="Picture 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8196" name="Object 1" hidden="1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8197" name="Picture 1">
          <a:extLst>
            <a:ext uri="{FF2B5EF4-FFF2-40B4-BE49-F238E27FC236}">
              <a16:creationId xmlns:a16="http://schemas.microsoft.com/office/drawing/2014/main" id="{00000000-0008-0000-0600-00000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1341120</xdr:colOff>
          <xdr:row>1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suesalter@shaw.ca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suesalter@shaw.ca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mailto:suesalter@shaw.ca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hyperlink" Target="mailto:suesalter@shaw.ca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hyperlink" Target="mailto:suesalter@shaw.ca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hyperlink" Target="mailto:suesalter@shaw.ca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hyperlink" Target="mailto:suesalter@shaw.ca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4"/>
  <sheetViews>
    <sheetView tabSelected="1" workbookViewId="0">
      <pane xSplit="1" topLeftCell="B1" activePane="topRight" state="frozen"/>
      <selection pane="topRight" activeCell="J1" sqref="J1:J1048576"/>
    </sheetView>
  </sheetViews>
  <sheetFormatPr defaultColWidth="8.88671875" defaultRowHeight="14.4" x14ac:dyDescent="0.3"/>
  <cols>
    <col min="1" max="1" width="27.88671875" style="7" customWidth="1"/>
    <col min="2" max="2" width="9.33203125" style="6" customWidth="1"/>
    <col min="3" max="3" width="9.88671875" style="6" customWidth="1"/>
    <col min="4" max="5" width="10.33203125" style="6" customWidth="1"/>
    <col min="6" max="6" width="9.6640625" style="6" customWidth="1"/>
    <col min="7" max="7" width="10.6640625" style="6" customWidth="1"/>
    <col min="8" max="8" width="10.88671875" style="6" customWidth="1"/>
    <col min="9" max="9" width="10.44140625" style="6" customWidth="1"/>
    <col min="10" max="10" width="11" style="6" customWidth="1"/>
    <col min="11" max="11" width="11.5546875" style="6" customWidth="1"/>
    <col min="12" max="12" width="12" style="6" customWidth="1"/>
    <col min="13" max="13" width="14" style="6" customWidth="1"/>
    <col min="14" max="14" width="12.109375" style="6" customWidth="1"/>
    <col min="15" max="15" width="10.44140625" style="6" customWidth="1"/>
    <col min="16" max="16" width="9.5546875" style="6" customWidth="1"/>
    <col min="17" max="17" width="8.33203125" style="6" customWidth="1"/>
    <col min="18" max="18" width="10.33203125" style="6" customWidth="1"/>
    <col min="19" max="20" width="8.33203125" style="6" customWidth="1"/>
    <col min="21" max="21" width="10.109375" style="6" customWidth="1"/>
    <col min="22" max="22" width="11.5546875" style="6" customWidth="1"/>
    <col min="23" max="23" width="10.44140625" style="6" customWidth="1"/>
    <col min="24" max="24" width="10.6640625" style="6" customWidth="1"/>
    <col min="25" max="25" width="8.33203125" style="6" customWidth="1"/>
    <col min="26" max="26" width="10.6640625" style="6" customWidth="1"/>
    <col min="27" max="27" width="10.33203125" style="6" customWidth="1"/>
    <col min="28" max="28" width="10.5546875" style="6" customWidth="1"/>
    <col min="29" max="29" width="9.88671875" style="6" customWidth="1"/>
    <col min="30" max="93" width="8.33203125" style="6" customWidth="1"/>
    <col min="94" max="16384" width="8.88671875" style="6"/>
  </cols>
  <sheetData>
    <row r="1" spans="1:29" ht="41.25" customHeight="1" x14ac:dyDescent="0.3"/>
    <row r="2" spans="1:29" x14ac:dyDescent="0.3">
      <c r="A2" s="7" t="s">
        <v>85</v>
      </c>
    </row>
    <row r="3" spans="1:29" x14ac:dyDescent="0.3">
      <c r="A3" s="7" t="s">
        <v>86</v>
      </c>
    </row>
    <row r="4" spans="1:29" x14ac:dyDescent="0.3">
      <c r="A4" s="7" t="s">
        <v>65</v>
      </c>
    </row>
    <row r="5" spans="1:29" x14ac:dyDescent="0.3">
      <c r="A5" s="8" t="s">
        <v>62</v>
      </c>
    </row>
    <row r="6" spans="1:29" x14ac:dyDescent="0.3">
      <c r="A6" s="7" t="s">
        <v>63</v>
      </c>
    </row>
    <row r="7" spans="1:29" x14ac:dyDescent="0.3">
      <c r="A7" s="9"/>
    </row>
    <row r="8" spans="1:29" x14ac:dyDescent="0.3">
      <c r="A8" s="11"/>
    </row>
    <row r="9" spans="1:29" x14ac:dyDescent="0.3">
      <c r="A9" s="20" t="s">
        <v>66</v>
      </c>
      <c r="B9" s="28" t="s">
        <v>87</v>
      </c>
      <c r="C9" s="33" t="s">
        <v>87</v>
      </c>
      <c r="D9" s="28" t="s">
        <v>87</v>
      </c>
      <c r="E9" s="33" t="s">
        <v>87</v>
      </c>
      <c r="F9" s="33" t="s">
        <v>87</v>
      </c>
      <c r="G9" s="28" t="s">
        <v>87</v>
      </c>
      <c r="H9" s="33" t="s">
        <v>87</v>
      </c>
      <c r="I9" s="28" t="s">
        <v>87</v>
      </c>
      <c r="J9" s="33" t="s">
        <v>87</v>
      </c>
      <c r="K9" s="33" t="s">
        <v>87</v>
      </c>
      <c r="L9" s="28" t="s">
        <v>87</v>
      </c>
      <c r="M9" s="33" t="s">
        <v>87</v>
      </c>
      <c r="N9" s="28" t="s">
        <v>87</v>
      </c>
      <c r="O9" s="28" t="s">
        <v>87</v>
      </c>
      <c r="P9" s="28" t="s">
        <v>88</v>
      </c>
      <c r="Q9" s="33" t="s">
        <v>88</v>
      </c>
      <c r="R9" s="28" t="s">
        <v>88</v>
      </c>
      <c r="S9" s="28" t="s">
        <v>88</v>
      </c>
      <c r="T9" s="33" t="s">
        <v>88</v>
      </c>
      <c r="U9" s="28" t="s">
        <v>88</v>
      </c>
      <c r="V9" s="33" t="s">
        <v>88</v>
      </c>
      <c r="W9" s="33" t="s">
        <v>88</v>
      </c>
      <c r="X9" s="28" t="s">
        <v>88</v>
      </c>
      <c r="Y9" s="33" t="s">
        <v>88</v>
      </c>
      <c r="Z9" s="28" t="s">
        <v>88</v>
      </c>
      <c r="AA9" s="33" t="s">
        <v>88</v>
      </c>
      <c r="AB9" s="33" t="s">
        <v>89</v>
      </c>
      <c r="AC9" s="28" t="s">
        <v>89</v>
      </c>
    </row>
    <row r="10" spans="1:29" x14ac:dyDescent="0.3">
      <c r="A10" s="20" t="s">
        <v>67</v>
      </c>
      <c r="B10" s="28">
        <v>2</v>
      </c>
      <c r="C10" s="33">
        <v>2</v>
      </c>
      <c r="D10" s="28">
        <v>2</v>
      </c>
      <c r="E10" s="33">
        <v>2</v>
      </c>
      <c r="F10" s="33">
        <v>2</v>
      </c>
      <c r="G10" s="28">
        <v>4</v>
      </c>
      <c r="H10" s="33">
        <v>4</v>
      </c>
      <c r="I10" s="28">
        <v>4</v>
      </c>
      <c r="J10" s="33">
        <v>4</v>
      </c>
      <c r="K10" s="33">
        <v>4</v>
      </c>
      <c r="L10" s="28">
        <v>5</v>
      </c>
      <c r="M10" s="33">
        <v>5</v>
      </c>
      <c r="N10" s="28">
        <v>5</v>
      </c>
      <c r="O10" s="28">
        <v>5</v>
      </c>
      <c r="P10" s="28">
        <v>1</v>
      </c>
      <c r="Q10" s="33">
        <v>1</v>
      </c>
      <c r="R10" s="28">
        <v>1</v>
      </c>
      <c r="S10" s="28">
        <v>7</v>
      </c>
      <c r="T10" s="33">
        <v>7</v>
      </c>
      <c r="U10" s="28">
        <v>7</v>
      </c>
      <c r="V10" s="33">
        <v>7</v>
      </c>
      <c r="W10" s="33">
        <v>10</v>
      </c>
      <c r="X10" s="28">
        <v>10</v>
      </c>
      <c r="Y10" s="33">
        <v>10</v>
      </c>
      <c r="Z10" s="28">
        <v>10</v>
      </c>
      <c r="AA10" s="33">
        <v>10</v>
      </c>
      <c r="AB10" s="33" t="s">
        <v>90</v>
      </c>
      <c r="AC10" s="28" t="s">
        <v>90</v>
      </c>
    </row>
    <row r="11" spans="1:29" x14ac:dyDescent="0.3">
      <c r="A11" s="20" t="s">
        <v>69</v>
      </c>
      <c r="B11" s="28" t="s">
        <v>91</v>
      </c>
      <c r="C11" s="33" t="s">
        <v>92</v>
      </c>
      <c r="D11" s="28" t="s">
        <v>93</v>
      </c>
      <c r="E11" s="33" t="s">
        <v>94</v>
      </c>
      <c r="F11" s="33" t="s">
        <v>95</v>
      </c>
      <c r="G11" s="28" t="s">
        <v>96</v>
      </c>
      <c r="H11" s="33" t="s">
        <v>97</v>
      </c>
      <c r="I11" s="28" t="s">
        <v>98</v>
      </c>
      <c r="J11" s="33" t="s">
        <v>99</v>
      </c>
      <c r="K11" s="33" t="s">
        <v>100</v>
      </c>
      <c r="L11" s="28" t="s">
        <v>101</v>
      </c>
      <c r="M11" s="33" t="s">
        <v>102</v>
      </c>
      <c r="N11" s="28" t="s">
        <v>103</v>
      </c>
      <c r="O11" s="28" t="s">
        <v>104</v>
      </c>
      <c r="P11" s="28" t="s">
        <v>105</v>
      </c>
      <c r="Q11" s="33" t="s">
        <v>106</v>
      </c>
      <c r="R11" s="28" t="s">
        <v>107</v>
      </c>
      <c r="S11" s="28" t="s">
        <v>108</v>
      </c>
      <c r="T11" s="33" t="s">
        <v>109</v>
      </c>
      <c r="U11" s="28" t="s">
        <v>110</v>
      </c>
      <c r="V11" s="33" t="s">
        <v>111</v>
      </c>
      <c r="W11" s="33" t="s">
        <v>112</v>
      </c>
      <c r="X11" s="28" t="s">
        <v>113</v>
      </c>
      <c r="Y11" s="33" t="s">
        <v>114</v>
      </c>
      <c r="Z11" s="28" t="s">
        <v>115</v>
      </c>
      <c r="AA11" s="33" t="s">
        <v>116</v>
      </c>
      <c r="AB11" s="33" t="s">
        <v>117</v>
      </c>
      <c r="AC11" s="28" t="s">
        <v>118</v>
      </c>
    </row>
    <row r="12" spans="1:29" x14ac:dyDescent="0.3">
      <c r="A12" s="20" t="s">
        <v>68</v>
      </c>
      <c r="B12" s="28" t="s">
        <v>593</v>
      </c>
      <c r="C12" s="33" t="s">
        <v>594</v>
      </c>
      <c r="D12" s="28" t="s">
        <v>595</v>
      </c>
      <c r="E12" s="33" t="s">
        <v>596</v>
      </c>
      <c r="F12" s="33" t="s">
        <v>597</v>
      </c>
      <c r="G12" s="28" t="s">
        <v>593</v>
      </c>
      <c r="H12" s="33" t="s">
        <v>594</v>
      </c>
      <c r="I12" s="28" t="s">
        <v>595</v>
      </c>
      <c r="J12" s="33" t="s">
        <v>596</v>
      </c>
      <c r="K12" s="33" t="s">
        <v>597</v>
      </c>
      <c r="L12" s="28" t="s">
        <v>594</v>
      </c>
      <c r="M12" s="33" t="s">
        <v>595</v>
      </c>
      <c r="N12" s="28" t="s">
        <v>596</v>
      </c>
      <c r="O12" s="28" t="s">
        <v>597</v>
      </c>
      <c r="P12" s="28" t="s">
        <v>593</v>
      </c>
      <c r="Q12" s="33" t="s">
        <v>596</v>
      </c>
      <c r="R12" s="28" t="s">
        <v>598</v>
      </c>
      <c r="S12" s="28" t="s">
        <v>593</v>
      </c>
      <c r="T12" s="33" t="s">
        <v>595</v>
      </c>
      <c r="U12" s="28" t="s">
        <v>596</v>
      </c>
      <c r="V12" s="33" t="s">
        <v>598</v>
      </c>
      <c r="W12" s="33" t="s">
        <v>593</v>
      </c>
      <c r="X12" s="28" t="s">
        <v>594</v>
      </c>
      <c r="Y12" s="33" t="s">
        <v>595</v>
      </c>
      <c r="Z12" s="28" t="s">
        <v>596</v>
      </c>
      <c r="AA12" s="33" t="s">
        <v>598</v>
      </c>
      <c r="AB12" s="33" t="s">
        <v>593</v>
      </c>
      <c r="AC12" s="28" t="s">
        <v>596</v>
      </c>
    </row>
    <row r="13" spans="1:29" x14ac:dyDescent="0.3">
      <c r="A13" s="27" t="s">
        <v>120</v>
      </c>
      <c r="B13" s="35">
        <v>0</v>
      </c>
      <c r="C13" s="36">
        <v>0</v>
      </c>
      <c r="D13" s="35">
        <v>0</v>
      </c>
      <c r="E13" s="36">
        <v>0</v>
      </c>
      <c r="F13" s="36">
        <v>0</v>
      </c>
      <c r="G13" s="35">
        <v>0</v>
      </c>
      <c r="H13" s="36">
        <v>0</v>
      </c>
      <c r="I13" s="35">
        <v>0</v>
      </c>
      <c r="J13" s="36">
        <v>0</v>
      </c>
      <c r="K13" s="36">
        <v>0</v>
      </c>
      <c r="L13" s="35">
        <v>0</v>
      </c>
      <c r="M13" s="36">
        <v>0</v>
      </c>
      <c r="N13" s="35">
        <v>0</v>
      </c>
      <c r="O13" s="35">
        <v>0</v>
      </c>
      <c r="P13" s="35">
        <v>0</v>
      </c>
      <c r="Q13" s="36">
        <v>0</v>
      </c>
      <c r="R13" s="35">
        <v>0</v>
      </c>
      <c r="S13" s="35">
        <v>0</v>
      </c>
      <c r="T13" s="36">
        <v>0</v>
      </c>
      <c r="U13" s="35">
        <v>0</v>
      </c>
      <c r="V13" s="36">
        <v>0</v>
      </c>
      <c r="W13" s="36">
        <v>0</v>
      </c>
      <c r="X13" s="29">
        <v>13</v>
      </c>
      <c r="Y13" s="36">
        <v>0</v>
      </c>
      <c r="Z13" s="35">
        <v>0</v>
      </c>
      <c r="AA13" s="36">
        <v>0</v>
      </c>
      <c r="AB13" s="36">
        <v>0</v>
      </c>
      <c r="AC13" s="35">
        <v>0</v>
      </c>
    </row>
    <row r="14" spans="1:29" x14ac:dyDescent="0.3">
      <c r="A14" s="21" t="s">
        <v>119</v>
      </c>
      <c r="B14" s="35">
        <v>0</v>
      </c>
      <c r="C14" s="36">
        <v>0</v>
      </c>
      <c r="D14" s="35">
        <v>0</v>
      </c>
      <c r="E14" s="36">
        <v>0</v>
      </c>
      <c r="F14" s="36">
        <v>0</v>
      </c>
      <c r="G14" s="35">
        <v>0</v>
      </c>
      <c r="H14" s="36">
        <v>0</v>
      </c>
      <c r="I14" s="35">
        <v>0</v>
      </c>
      <c r="J14" s="36">
        <v>0</v>
      </c>
      <c r="K14" s="36">
        <v>0</v>
      </c>
      <c r="L14" s="35">
        <v>0</v>
      </c>
      <c r="M14" s="36">
        <v>0</v>
      </c>
      <c r="N14" s="35">
        <v>0</v>
      </c>
      <c r="O14" s="35">
        <v>0</v>
      </c>
      <c r="P14" s="35">
        <v>0</v>
      </c>
      <c r="Q14" s="36">
        <v>0</v>
      </c>
      <c r="R14" s="35">
        <v>0</v>
      </c>
      <c r="S14" s="35">
        <v>0</v>
      </c>
      <c r="T14" s="36">
        <v>0</v>
      </c>
      <c r="U14" s="35">
        <v>0</v>
      </c>
      <c r="V14" s="36">
        <v>0</v>
      </c>
      <c r="W14" s="36">
        <v>0</v>
      </c>
      <c r="X14" s="35">
        <v>0</v>
      </c>
      <c r="Y14" s="36">
        <v>0</v>
      </c>
      <c r="Z14" s="35">
        <v>0</v>
      </c>
      <c r="AA14" s="36">
        <v>0</v>
      </c>
      <c r="AB14" s="36">
        <v>0</v>
      </c>
      <c r="AC14" s="35">
        <v>0</v>
      </c>
    </row>
    <row r="15" spans="1:29" x14ac:dyDescent="0.3">
      <c r="A15" s="21" t="s">
        <v>121</v>
      </c>
      <c r="B15" s="35">
        <v>0</v>
      </c>
      <c r="C15" s="36">
        <v>0</v>
      </c>
      <c r="D15" s="35">
        <v>0</v>
      </c>
      <c r="E15" s="36">
        <v>0</v>
      </c>
      <c r="F15" s="36">
        <v>0</v>
      </c>
      <c r="G15" s="35">
        <v>0</v>
      </c>
      <c r="H15" s="36">
        <v>0</v>
      </c>
      <c r="I15" s="35">
        <v>0</v>
      </c>
      <c r="J15" s="36">
        <v>0</v>
      </c>
      <c r="K15" s="36">
        <v>0</v>
      </c>
      <c r="L15" s="35">
        <v>0</v>
      </c>
      <c r="M15" s="36">
        <v>0</v>
      </c>
      <c r="N15" s="35">
        <v>0</v>
      </c>
      <c r="O15" s="35">
        <v>0</v>
      </c>
      <c r="P15" s="35">
        <v>0</v>
      </c>
      <c r="Q15" s="36">
        <v>0</v>
      </c>
      <c r="R15" s="35">
        <v>0</v>
      </c>
      <c r="S15" s="35">
        <v>0</v>
      </c>
      <c r="T15" s="36">
        <v>0</v>
      </c>
      <c r="U15" s="35">
        <v>0</v>
      </c>
      <c r="V15" s="36">
        <v>0</v>
      </c>
      <c r="W15" s="36">
        <v>0</v>
      </c>
      <c r="X15" s="35">
        <v>0</v>
      </c>
      <c r="Y15" s="36">
        <v>0</v>
      </c>
      <c r="Z15" s="35">
        <v>0</v>
      </c>
      <c r="AA15" s="36">
        <v>0</v>
      </c>
      <c r="AB15" s="36">
        <v>0</v>
      </c>
      <c r="AC15" s="35">
        <v>0</v>
      </c>
    </row>
    <row r="16" spans="1:29" x14ac:dyDescent="0.3">
      <c r="A16" s="21" t="s">
        <v>122</v>
      </c>
      <c r="B16" s="35">
        <v>0</v>
      </c>
      <c r="C16" s="36">
        <v>0</v>
      </c>
      <c r="D16" s="35">
        <v>0</v>
      </c>
      <c r="E16" s="36">
        <v>0</v>
      </c>
      <c r="F16" s="36">
        <v>0</v>
      </c>
      <c r="G16" s="35">
        <v>0</v>
      </c>
      <c r="H16" s="36">
        <v>0</v>
      </c>
      <c r="I16" s="35">
        <v>0</v>
      </c>
      <c r="J16" s="36">
        <v>0</v>
      </c>
      <c r="K16" s="36">
        <v>0</v>
      </c>
      <c r="L16" s="35">
        <v>0</v>
      </c>
      <c r="M16" s="36">
        <v>0</v>
      </c>
      <c r="N16" s="35">
        <v>0</v>
      </c>
      <c r="O16" s="35">
        <v>0</v>
      </c>
      <c r="P16" s="35">
        <v>0</v>
      </c>
      <c r="Q16" s="36">
        <v>0</v>
      </c>
      <c r="R16" s="35">
        <v>0</v>
      </c>
      <c r="S16" s="35">
        <v>0</v>
      </c>
      <c r="T16" s="36">
        <v>0</v>
      </c>
      <c r="U16" s="35">
        <v>0</v>
      </c>
      <c r="V16" s="36">
        <v>0</v>
      </c>
      <c r="W16" s="36">
        <v>0</v>
      </c>
      <c r="X16" s="35">
        <v>0</v>
      </c>
      <c r="Y16" s="36">
        <v>0</v>
      </c>
      <c r="Z16" s="35">
        <v>0</v>
      </c>
      <c r="AA16" s="36">
        <v>0</v>
      </c>
      <c r="AB16" s="36">
        <v>0</v>
      </c>
      <c r="AC16" s="35">
        <v>0</v>
      </c>
    </row>
    <row r="17" spans="1:29" x14ac:dyDescent="0.3">
      <c r="A17" s="21" t="s">
        <v>123</v>
      </c>
      <c r="B17" s="35">
        <v>0</v>
      </c>
      <c r="C17" s="36">
        <v>0</v>
      </c>
      <c r="D17" s="35">
        <v>0</v>
      </c>
      <c r="E17" s="36">
        <v>0</v>
      </c>
      <c r="F17" s="36">
        <v>0</v>
      </c>
      <c r="G17" s="35">
        <v>0</v>
      </c>
      <c r="H17" s="36">
        <v>0</v>
      </c>
      <c r="I17" s="35">
        <v>0</v>
      </c>
      <c r="J17" s="36">
        <v>0</v>
      </c>
      <c r="K17" s="36">
        <v>0</v>
      </c>
      <c r="L17" s="35">
        <v>0</v>
      </c>
      <c r="M17" s="36">
        <v>0</v>
      </c>
      <c r="N17" s="35">
        <v>0</v>
      </c>
      <c r="O17" s="35">
        <v>0</v>
      </c>
      <c r="P17" s="35">
        <v>0</v>
      </c>
      <c r="Q17" s="36">
        <v>0</v>
      </c>
      <c r="R17" s="35">
        <v>0</v>
      </c>
      <c r="S17" s="35">
        <v>0</v>
      </c>
      <c r="T17" s="36">
        <v>0</v>
      </c>
      <c r="U17" s="35">
        <v>0</v>
      </c>
      <c r="V17" s="36">
        <v>0</v>
      </c>
      <c r="W17" s="36">
        <v>0</v>
      </c>
      <c r="X17" s="35">
        <v>0</v>
      </c>
      <c r="Y17" s="36">
        <v>0</v>
      </c>
      <c r="Z17" s="35">
        <v>0</v>
      </c>
      <c r="AA17" s="36">
        <v>0</v>
      </c>
      <c r="AB17" s="36">
        <v>0</v>
      </c>
      <c r="AC17" s="35">
        <v>0</v>
      </c>
    </row>
    <row r="18" spans="1:29" x14ac:dyDescent="0.3">
      <c r="A18" s="21" t="s">
        <v>124</v>
      </c>
      <c r="B18" s="35">
        <v>0</v>
      </c>
      <c r="C18" s="36">
        <v>0</v>
      </c>
      <c r="D18" s="35">
        <v>0</v>
      </c>
      <c r="E18" s="36">
        <v>0</v>
      </c>
      <c r="F18" s="36">
        <v>0</v>
      </c>
      <c r="G18" s="35">
        <v>0</v>
      </c>
      <c r="H18" s="36">
        <v>0</v>
      </c>
      <c r="I18" s="29">
        <v>30</v>
      </c>
      <c r="J18" s="36">
        <v>0</v>
      </c>
      <c r="K18" s="36">
        <v>0</v>
      </c>
      <c r="L18" s="35">
        <v>0</v>
      </c>
      <c r="M18" s="36">
        <v>0</v>
      </c>
      <c r="N18" s="35">
        <v>0</v>
      </c>
      <c r="O18" s="35">
        <v>0</v>
      </c>
      <c r="P18" s="35">
        <v>0</v>
      </c>
      <c r="Q18" s="36">
        <v>0</v>
      </c>
      <c r="R18" s="35">
        <v>0</v>
      </c>
      <c r="S18" s="35">
        <v>0</v>
      </c>
      <c r="T18" s="36">
        <v>0</v>
      </c>
      <c r="U18" s="35">
        <v>0</v>
      </c>
      <c r="V18" s="36">
        <v>0</v>
      </c>
      <c r="W18" s="36">
        <v>0</v>
      </c>
      <c r="X18" s="35">
        <v>0</v>
      </c>
      <c r="Y18" s="36">
        <v>0</v>
      </c>
      <c r="Z18" s="35">
        <v>0</v>
      </c>
      <c r="AA18" s="36">
        <v>0</v>
      </c>
      <c r="AB18" s="36">
        <v>0</v>
      </c>
      <c r="AC18" s="35">
        <v>0</v>
      </c>
    </row>
    <row r="19" spans="1:29" x14ac:dyDescent="0.3">
      <c r="A19" s="21" t="s">
        <v>125</v>
      </c>
      <c r="B19" s="35">
        <v>0</v>
      </c>
      <c r="C19" s="36">
        <v>0</v>
      </c>
      <c r="D19" s="35">
        <v>0</v>
      </c>
      <c r="E19" s="36">
        <v>0</v>
      </c>
      <c r="F19" s="36">
        <v>0</v>
      </c>
      <c r="G19" s="35">
        <v>0</v>
      </c>
      <c r="H19" s="36">
        <v>0</v>
      </c>
      <c r="I19" s="35">
        <v>0</v>
      </c>
      <c r="J19" s="36">
        <v>0</v>
      </c>
      <c r="K19" s="36">
        <v>0</v>
      </c>
      <c r="L19" s="35">
        <v>0</v>
      </c>
      <c r="M19" s="36">
        <v>0</v>
      </c>
      <c r="N19" s="35">
        <v>0</v>
      </c>
      <c r="O19" s="35">
        <v>0</v>
      </c>
      <c r="P19" s="35">
        <v>0</v>
      </c>
      <c r="Q19" s="36">
        <v>0</v>
      </c>
      <c r="R19" s="35">
        <v>0</v>
      </c>
      <c r="S19" s="35">
        <v>0</v>
      </c>
      <c r="T19" s="36">
        <v>0</v>
      </c>
      <c r="U19" s="35">
        <v>0</v>
      </c>
      <c r="V19" s="36">
        <v>0</v>
      </c>
      <c r="W19" s="36">
        <v>0</v>
      </c>
      <c r="X19" s="35">
        <v>0</v>
      </c>
      <c r="Y19" s="36">
        <v>0</v>
      </c>
      <c r="Z19" s="35">
        <v>0</v>
      </c>
      <c r="AA19" s="36">
        <v>0</v>
      </c>
      <c r="AB19" s="36">
        <v>0</v>
      </c>
      <c r="AC19" s="35">
        <v>0</v>
      </c>
    </row>
    <row r="20" spans="1:29" x14ac:dyDescent="0.3">
      <c r="A20" s="27" t="s">
        <v>126</v>
      </c>
      <c r="B20" s="35">
        <v>0</v>
      </c>
      <c r="C20" s="36">
        <v>0</v>
      </c>
      <c r="D20" s="35">
        <v>0</v>
      </c>
      <c r="E20" s="36">
        <v>0</v>
      </c>
      <c r="F20" s="36">
        <v>0</v>
      </c>
      <c r="G20" s="35">
        <v>0</v>
      </c>
      <c r="H20" s="36">
        <v>0</v>
      </c>
      <c r="I20" s="35">
        <v>0</v>
      </c>
      <c r="J20" s="36">
        <v>0</v>
      </c>
      <c r="K20" s="36">
        <v>0</v>
      </c>
      <c r="L20" s="35">
        <v>0</v>
      </c>
      <c r="M20" s="34">
        <v>20</v>
      </c>
      <c r="N20" s="29">
        <v>13</v>
      </c>
      <c r="O20" s="35">
        <v>0</v>
      </c>
      <c r="P20" s="35">
        <v>0</v>
      </c>
      <c r="Q20" s="36">
        <v>0</v>
      </c>
      <c r="R20" s="35">
        <v>0</v>
      </c>
      <c r="S20" s="35">
        <v>0</v>
      </c>
      <c r="T20" s="36">
        <v>0</v>
      </c>
      <c r="U20" s="35">
        <v>0</v>
      </c>
      <c r="V20" s="36">
        <v>0</v>
      </c>
      <c r="W20" s="36">
        <v>0</v>
      </c>
      <c r="X20" s="35">
        <v>0</v>
      </c>
      <c r="Y20" s="36">
        <v>0</v>
      </c>
      <c r="Z20" s="35">
        <v>0</v>
      </c>
      <c r="AA20" s="36">
        <v>0</v>
      </c>
      <c r="AB20" s="36">
        <v>0</v>
      </c>
      <c r="AC20" s="35">
        <v>0</v>
      </c>
    </row>
    <row r="21" spans="1:29" x14ac:dyDescent="0.3">
      <c r="A21" s="21" t="s">
        <v>127</v>
      </c>
      <c r="B21" s="35">
        <v>0</v>
      </c>
      <c r="C21" s="36">
        <v>0</v>
      </c>
      <c r="D21" s="35">
        <v>0</v>
      </c>
      <c r="E21" s="36">
        <v>0</v>
      </c>
      <c r="F21" s="36">
        <v>0</v>
      </c>
      <c r="G21" s="35">
        <v>0</v>
      </c>
      <c r="H21" s="36">
        <v>0</v>
      </c>
      <c r="I21" s="35">
        <v>0</v>
      </c>
      <c r="J21" s="36">
        <v>0</v>
      </c>
      <c r="K21" s="36">
        <v>0</v>
      </c>
      <c r="L21" s="35">
        <v>0</v>
      </c>
      <c r="M21" s="36">
        <v>0</v>
      </c>
      <c r="N21" s="35">
        <v>0</v>
      </c>
      <c r="O21" s="35">
        <v>0</v>
      </c>
      <c r="P21" s="35">
        <v>0</v>
      </c>
      <c r="Q21" s="36">
        <v>0</v>
      </c>
      <c r="R21" s="35">
        <v>0</v>
      </c>
      <c r="S21" s="35">
        <v>0</v>
      </c>
      <c r="T21" s="36">
        <v>0</v>
      </c>
      <c r="U21" s="35">
        <v>0</v>
      </c>
      <c r="V21" s="36">
        <v>0</v>
      </c>
      <c r="W21" s="36">
        <v>0</v>
      </c>
      <c r="X21" s="35">
        <v>0</v>
      </c>
      <c r="Y21" s="36">
        <v>0</v>
      </c>
      <c r="Z21" s="35">
        <v>0</v>
      </c>
      <c r="AA21" s="36">
        <v>0</v>
      </c>
      <c r="AB21" s="36">
        <v>0</v>
      </c>
      <c r="AC21" s="35">
        <v>0</v>
      </c>
    </row>
    <row r="22" spans="1:29" x14ac:dyDescent="0.3">
      <c r="A22" s="27" t="s">
        <v>128</v>
      </c>
      <c r="B22" s="35">
        <v>0</v>
      </c>
      <c r="C22" s="36">
        <v>0</v>
      </c>
      <c r="D22" s="35">
        <v>0</v>
      </c>
      <c r="E22" s="36">
        <v>0</v>
      </c>
      <c r="F22" s="36">
        <v>0</v>
      </c>
      <c r="G22" s="35">
        <v>0</v>
      </c>
      <c r="H22" s="36">
        <v>0</v>
      </c>
      <c r="I22" s="35">
        <v>0</v>
      </c>
      <c r="J22" s="36">
        <v>0</v>
      </c>
      <c r="K22" s="36">
        <v>0</v>
      </c>
      <c r="L22" s="29">
        <v>40</v>
      </c>
      <c r="M22" s="36">
        <v>0</v>
      </c>
      <c r="N22" s="35">
        <v>0</v>
      </c>
      <c r="O22" s="35">
        <v>0</v>
      </c>
      <c r="P22" s="35">
        <v>0</v>
      </c>
      <c r="Q22" s="36">
        <v>0</v>
      </c>
      <c r="R22" s="35">
        <v>0</v>
      </c>
      <c r="S22" s="35">
        <v>0</v>
      </c>
      <c r="T22" s="36">
        <v>0</v>
      </c>
      <c r="U22" s="35">
        <v>0</v>
      </c>
      <c r="V22" s="36">
        <v>0</v>
      </c>
      <c r="W22" s="36">
        <v>0</v>
      </c>
      <c r="X22" s="35">
        <v>0</v>
      </c>
      <c r="Y22" s="36">
        <v>0</v>
      </c>
      <c r="Z22" s="35">
        <v>0</v>
      </c>
      <c r="AA22" s="36">
        <v>0</v>
      </c>
      <c r="AB22" s="36">
        <v>0</v>
      </c>
      <c r="AC22" s="35">
        <v>0</v>
      </c>
    </row>
    <row r="23" spans="1:29" x14ac:dyDescent="0.3">
      <c r="A23" s="21" t="s">
        <v>129</v>
      </c>
      <c r="B23" s="29">
        <v>11</v>
      </c>
      <c r="C23" s="34">
        <v>280</v>
      </c>
      <c r="D23" s="29">
        <v>86</v>
      </c>
      <c r="E23" s="34">
        <v>143</v>
      </c>
      <c r="F23" s="36">
        <v>0</v>
      </c>
      <c r="G23" s="35">
        <v>0</v>
      </c>
      <c r="H23" s="34">
        <v>400</v>
      </c>
      <c r="I23" s="29">
        <v>110</v>
      </c>
      <c r="J23" s="34">
        <v>20</v>
      </c>
      <c r="K23" s="36">
        <v>0</v>
      </c>
      <c r="L23" s="35">
        <v>0</v>
      </c>
      <c r="M23" s="36">
        <v>0</v>
      </c>
      <c r="N23" s="29">
        <v>113</v>
      </c>
      <c r="O23" s="29">
        <v>50</v>
      </c>
      <c r="P23" s="35">
        <v>0</v>
      </c>
      <c r="Q23" s="34">
        <v>2</v>
      </c>
      <c r="R23" s="35">
        <v>0</v>
      </c>
      <c r="S23" s="35">
        <v>0</v>
      </c>
      <c r="T23" s="36">
        <v>0</v>
      </c>
      <c r="U23" s="29">
        <v>9</v>
      </c>
      <c r="V23" s="36">
        <v>0</v>
      </c>
      <c r="W23" s="36">
        <v>0</v>
      </c>
      <c r="X23" s="29">
        <v>6</v>
      </c>
      <c r="Y23" s="36">
        <v>0</v>
      </c>
      <c r="Z23" s="29">
        <v>6</v>
      </c>
      <c r="AA23" s="36">
        <v>0</v>
      </c>
      <c r="AB23" s="36">
        <v>0</v>
      </c>
      <c r="AC23" s="29">
        <v>143</v>
      </c>
    </row>
    <row r="24" spans="1:29" x14ac:dyDescent="0.3">
      <c r="A24" s="27" t="s">
        <v>130</v>
      </c>
      <c r="B24" s="35">
        <v>0</v>
      </c>
      <c r="C24" s="36">
        <v>0</v>
      </c>
      <c r="D24" s="35">
        <v>0</v>
      </c>
      <c r="E24" s="36">
        <v>0</v>
      </c>
      <c r="F24" s="36">
        <v>0</v>
      </c>
      <c r="G24" s="35">
        <v>0</v>
      </c>
      <c r="H24" s="36">
        <v>0</v>
      </c>
      <c r="I24" s="35">
        <v>0</v>
      </c>
      <c r="J24" s="36">
        <v>0</v>
      </c>
      <c r="K24" s="36">
        <v>0</v>
      </c>
      <c r="L24" s="35">
        <v>0</v>
      </c>
      <c r="M24" s="36">
        <v>0</v>
      </c>
      <c r="N24" s="35">
        <v>0</v>
      </c>
      <c r="O24" s="35">
        <v>0</v>
      </c>
      <c r="P24" s="35">
        <v>0</v>
      </c>
      <c r="Q24" s="36">
        <v>0</v>
      </c>
      <c r="R24" s="35">
        <v>0</v>
      </c>
      <c r="S24" s="35">
        <v>0</v>
      </c>
      <c r="T24" s="34">
        <v>26</v>
      </c>
      <c r="U24" s="29">
        <v>18</v>
      </c>
      <c r="V24" s="36">
        <v>0</v>
      </c>
      <c r="W24" s="36">
        <v>0</v>
      </c>
      <c r="X24" s="29">
        <v>81</v>
      </c>
      <c r="Y24" s="36">
        <v>0</v>
      </c>
      <c r="Z24" s="29">
        <v>6</v>
      </c>
      <c r="AA24" s="36">
        <v>0</v>
      </c>
      <c r="AB24" s="36">
        <v>0</v>
      </c>
      <c r="AC24" s="35">
        <v>0</v>
      </c>
    </row>
    <row r="25" spans="1:29" x14ac:dyDescent="0.3">
      <c r="A25" s="27" t="s">
        <v>131</v>
      </c>
      <c r="B25" s="35">
        <v>0</v>
      </c>
      <c r="C25" s="36">
        <v>0</v>
      </c>
      <c r="D25" s="35">
        <v>0</v>
      </c>
      <c r="E25" s="36">
        <v>0</v>
      </c>
      <c r="F25" s="36">
        <v>0</v>
      </c>
      <c r="G25" s="35">
        <v>0</v>
      </c>
      <c r="H25" s="36">
        <v>0</v>
      </c>
      <c r="I25" s="35">
        <v>0</v>
      </c>
      <c r="J25" s="36">
        <v>0</v>
      </c>
      <c r="K25" s="36">
        <v>0</v>
      </c>
      <c r="L25" s="35">
        <v>0</v>
      </c>
      <c r="M25" s="36">
        <v>0</v>
      </c>
      <c r="N25" s="35">
        <v>0</v>
      </c>
      <c r="O25" s="35">
        <v>0</v>
      </c>
      <c r="P25" s="35">
        <v>0</v>
      </c>
      <c r="Q25" s="36">
        <v>0</v>
      </c>
      <c r="R25" s="35">
        <v>0</v>
      </c>
      <c r="S25" s="35">
        <v>0</v>
      </c>
      <c r="T25" s="36">
        <v>0</v>
      </c>
      <c r="U25" s="35">
        <v>0</v>
      </c>
      <c r="V25" s="36">
        <v>0</v>
      </c>
      <c r="W25" s="36">
        <v>0</v>
      </c>
      <c r="X25" s="35">
        <v>0</v>
      </c>
      <c r="Y25" s="36">
        <v>0</v>
      </c>
      <c r="Z25" s="35">
        <v>0</v>
      </c>
      <c r="AA25" s="36">
        <v>0</v>
      </c>
      <c r="AB25" s="36">
        <v>0</v>
      </c>
      <c r="AC25" s="35">
        <v>0</v>
      </c>
    </row>
    <row r="26" spans="1:29" x14ac:dyDescent="0.3">
      <c r="A26" s="27" t="s">
        <v>132</v>
      </c>
      <c r="B26" s="35">
        <v>0</v>
      </c>
      <c r="C26" s="34">
        <v>240</v>
      </c>
      <c r="D26" s="29">
        <v>143</v>
      </c>
      <c r="E26" s="34">
        <v>86</v>
      </c>
      <c r="F26" s="36">
        <v>0</v>
      </c>
      <c r="G26" s="35">
        <v>0</v>
      </c>
      <c r="H26" s="34">
        <v>80</v>
      </c>
      <c r="I26" s="29">
        <v>10</v>
      </c>
      <c r="J26" s="34">
        <v>60</v>
      </c>
      <c r="K26" s="36">
        <v>0</v>
      </c>
      <c r="L26" s="29">
        <v>220</v>
      </c>
      <c r="M26" s="34">
        <v>100</v>
      </c>
      <c r="N26" s="29">
        <v>50</v>
      </c>
      <c r="O26" s="35">
        <v>0</v>
      </c>
      <c r="P26" s="35">
        <v>0</v>
      </c>
      <c r="Q26" s="34">
        <v>1</v>
      </c>
      <c r="R26" s="35">
        <v>0</v>
      </c>
      <c r="S26" s="35">
        <v>0</v>
      </c>
      <c r="T26" s="36">
        <v>0</v>
      </c>
      <c r="U26" s="35">
        <v>0</v>
      </c>
      <c r="V26" s="36">
        <v>0</v>
      </c>
      <c r="W26" s="36">
        <v>0</v>
      </c>
      <c r="X26" s="29">
        <v>244</v>
      </c>
      <c r="Y26" s="36">
        <v>0</v>
      </c>
      <c r="Z26" s="35">
        <v>0</v>
      </c>
      <c r="AA26" s="36">
        <v>0</v>
      </c>
      <c r="AB26" s="36">
        <v>0</v>
      </c>
      <c r="AC26" s="35">
        <v>0</v>
      </c>
    </row>
    <row r="27" spans="1:29" x14ac:dyDescent="0.3">
      <c r="A27" s="27" t="s">
        <v>133</v>
      </c>
      <c r="B27" s="35">
        <v>0</v>
      </c>
      <c r="C27" s="36">
        <v>0</v>
      </c>
      <c r="D27" s="35">
        <v>0</v>
      </c>
      <c r="E27" s="36">
        <v>0</v>
      </c>
      <c r="F27" s="36">
        <v>0</v>
      </c>
      <c r="G27" s="35">
        <v>0</v>
      </c>
      <c r="H27" s="36">
        <v>0</v>
      </c>
      <c r="I27" s="35">
        <v>0</v>
      </c>
      <c r="J27" s="36">
        <v>0</v>
      </c>
      <c r="K27" s="36">
        <v>0</v>
      </c>
      <c r="L27" s="35">
        <v>0</v>
      </c>
      <c r="M27" s="36">
        <v>0</v>
      </c>
      <c r="N27" s="35">
        <v>0</v>
      </c>
      <c r="O27" s="35">
        <v>0</v>
      </c>
      <c r="P27" s="35">
        <v>0</v>
      </c>
      <c r="Q27" s="36">
        <v>0</v>
      </c>
      <c r="R27" s="35">
        <v>0</v>
      </c>
      <c r="S27" s="35">
        <v>0</v>
      </c>
      <c r="T27" s="34">
        <v>79</v>
      </c>
      <c r="U27" s="29">
        <v>91</v>
      </c>
      <c r="V27" s="36">
        <v>0</v>
      </c>
      <c r="W27" s="36">
        <v>0</v>
      </c>
      <c r="X27" s="29">
        <v>63</v>
      </c>
      <c r="Y27" s="34">
        <v>112</v>
      </c>
      <c r="Z27" s="29">
        <v>263</v>
      </c>
      <c r="AA27" s="34">
        <v>3</v>
      </c>
      <c r="AB27" s="36">
        <v>0</v>
      </c>
      <c r="AC27" s="29">
        <v>14</v>
      </c>
    </row>
    <row r="28" spans="1:29" x14ac:dyDescent="0.3">
      <c r="A28" s="27" t="s">
        <v>134</v>
      </c>
      <c r="B28" s="29">
        <v>33</v>
      </c>
      <c r="C28" s="36">
        <v>0</v>
      </c>
      <c r="D28" s="29">
        <v>200</v>
      </c>
      <c r="E28" s="34">
        <v>129</v>
      </c>
      <c r="F28" s="34">
        <v>2340</v>
      </c>
      <c r="G28" s="35">
        <v>0</v>
      </c>
      <c r="H28" s="36">
        <v>0</v>
      </c>
      <c r="I28" s="29">
        <v>10</v>
      </c>
      <c r="J28" s="34">
        <v>40</v>
      </c>
      <c r="K28" s="34">
        <v>17</v>
      </c>
      <c r="L28" s="29">
        <v>20</v>
      </c>
      <c r="M28" s="34">
        <v>120</v>
      </c>
      <c r="N28" s="29">
        <v>113</v>
      </c>
      <c r="O28" s="29">
        <v>367</v>
      </c>
      <c r="P28" s="29">
        <v>18</v>
      </c>
      <c r="Q28" s="34">
        <v>1</v>
      </c>
      <c r="R28" s="35">
        <v>0</v>
      </c>
      <c r="S28" s="35">
        <v>0</v>
      </c>
      <c r="T28" s="36">
        <v>0</v>
      </c>
      <c r="U28" s="35">
        <v>0</v>
      </c>
      <c r="V28" s="34">
        <v>4</v>
      </c>
      <c r="W28" s="36">
        <v>0</v>
      </c>
      <c r="X28" s="35">
        <v>0</v>
      </c>
      <c r="Y28" s="36">
        <v>0</v>
      </c>
      <c r="Z28" s="35">
        <v>0</v>
      </c>
      <c r="AA28" s="36">
        <v>0</v>
      </c>
      <c r="AB28" s="34">
        <v>5</v>
      </c>
      <c r="AC28" s="35">
        <v>0</v>
      </c>
    </row>
    <row r="29" spans="1:29" x14ac:dyDescent="0.3">
      <c r="A29" s="27" t="s">
        <v>135</v>
      </c>
      <c r="B29" s="29">
        <v>67</v>
      </c>
      <c r="C29" s="36">
        <v>0</v>
      </c>
      <c r="D29" s="35">
        <v>0</v>
      </c>
      <c r="E29" s="36">
        <v>0</v>
      </c>
      <c r="F29" s="36">
        <v>0</v>
      </c>
      <c r="G29" s="35">
        <v>0</v>
      </c>
      <c r="H29" s="36">
        <v>0</v>
      </c>
      <c r="I29" s="35">
        <v>0</v>
      </c>
      <c r="J29" s="34">
        <v>40</v>
      </c>
      <c r="K29" s="36">
        <v>0</v>
      </c>
      <c r="L29" s="29">
        <v>40</v>
      </c>
      <c r="M29" s="36">
        <v>0</v>
      </c>
      <c r="N29" s="35">
        <v>0</v>
      </c>
      <c r="O29" s="35">
        <v>0</v>
      </c>
      <c r="P29" s="35">
        <v>0</v>
      </c>
      <c r="Q29" s="36">
        <v>0</v>
      </c>
      <c r="R29" s="35">
        <v>0</v>
      </c>
      <c r="S29" s="35">
        <v>0</v>
      </c>
      <c r="T29" s="36">
        <v>0</v>
      </c>
      <c r="U29" s="35">
        <v>0</v>
      </c>
      <c r="V29" s="36">
        <v>0</v>
      </c>
      <c r="W29" s="36">
        <v>0</v>
      </c>
      <c r="X29" s="35">
        <v>0</v>
      </c>
      <c r="Y29" s="36">
        <v>0</v>
      </c>
      <c r="Z29" s="35">
        <v>0</v>
      </c>
      <c r="AA29" s="36">
        <v>0</v>
      </c>
      <c r="AB29" s="36">
        <v>0</v>
      </c>
      <c r="AC29" s="35">
        <v>0</v>
      </c>
    </row>
    <row r="30" spans="1:29" x14ac:dyDescent="0.3">
      <c r="A30" s="27" t="s">
        <v>136</v>
      </c>
      <c r="B30" s="35">
        <v>0</v>
      </c>
      <c r="C30" s="36">
        <v>0</v>
      </c>
      <c r="D30" s="35">
        <v>0</v>
      </c>
      <c r="E30" s="36">
        <v>0</v>
      </c>
      <c r="F30" s="36">
        <v>0</v>
      </c>
      <c r="G30" s="35">
        <v>0</v>
      </c>
      <c r="H30" s="36">
        <v>0</v>
      </c>
      <c r="I30" s="35">
        <v>0</v>
      </c>
      <c r="J30" s="36">
        <v>0</v>
      </c>
      <c r="K30" s="36">
        <v>0</v>
      </c>
      <c r="L30" s="35">
        <v>0</v>
      </c>
      <c r="M30" s="36">
        <v>0</v>
      </c>
      <c r="N30" s="35">
        <v>0</v>
      </c>
      <c r="O30" s="35">
        <v>0</v>
      </c>
      <c r="P30" s="35">
        <v>0</v>
      </c>
      <c r="Q30" s="36">
        <v>0</v>
      </c>
      <c r="R30" s="35">
        <v>0</v>
      </c>
      <c r="S30" s="35">
        <v>0</v>
      </c>
      <c r="T30" s="34">
        <v>5</v>
      </c>
      <c r="U30" s="35">
        <v>0</v>
      </c>
      <c r="V30" s="36">
        <v>0</v>
      </c>
      <c r="W30" s="36">
        <v>0</v>
      </c>
      <c r="X30" s="29">
        <v>75</v>
      </c>
      <c r="Y30" s="36">
        <v>0</v>
      </c>
      <c r="Z30" s="35">
        <v>0</v>
      </c>
      <c r="AA30" s="36">
        <v>0</v>
      </c>
      <c r="AB30" s="36">
        <v>0</v>
      </c>
      <c r="AC30" s="29">
        <v>21</v>
      </c>
    </row>
    <row r="31" spans="1:29" x14ac:dyDescent="0.3">
      <c r="A31" s="27" t="s">
        <v>137</v>
      </c>
      <c r="B31" s="29">
        <v>67</v>
      </c>
      <c r="C31" s="34">
        <v>530</v>
      </c>
      <c r="D31" s="29">
        <v>214</v>
      </c>
      <c r="E31" s="34">
        <v>100</v>
      </c>
      <c r="F31" s="34">
        <v>120</v>
      </c>
      <c r="G31" s="29">
        <v>100</v>
      </c>
      <c r="H31" s="34">
        <v>700</v>
      </c>
      <c r="I31" s="29">
        <v>520</v>
      </c>
      <c r="J31" s="34">
        <v>1820</v>
      </c>
      <c r="K31" s="36">
        <v>0</v>
      </c>
      <c r="L31" s="29">
        <v>720</v>
      </c>
      <c r="M31" s="34">
        <v>180</v>
      </c>
      <c r="N31" s="29">
        <v>50</v>
      </c>
      <c r="O31" s="29">
        <v>383</v>
      </c>
      <c r="P31" s="29">
        <v>155</v>
      </c>
      <c r="Q31" s="34">
        <v>1</v>
      </c>
      <c r="R31" s="29">
        <v>63</v>
      </c>
      <c r="S31" s="35">
        <v>0</v>
      </c>
      <c r="T31" s="36">
        <v>0</v>
      </c>
      <c r="U31" s="29">
        <v>227</v>
      </c>
      <c r="V31" s="36">
        <v>0</v>
      </c>
      <c r="W31" s="36">
        <v>0</v>
      </c>
      <c r="X31" s="35">
        <v>0</v>
      </c>
      <c r="Y31" s="36">
        <v>0</v>
      </c>
      <c r="Z31" s="35">
        <v>0</v>
      </c>
      <c r="AA31" s="36">
        <v>0</v>
      </c>
      <c r="AB31" s="34">
        <v>145</v>
      </c>
      <c r="AC31" s="29">
        <v>129</v>
      </c>
    </row>
    <row r="32" spans="1:29" x14ac:dyDescent="0.3">
      <c r="A32" s="27" t="s">
        <v>138</v>
      </c>
      <c r="B32" s="35">
        <v>0</v>
      </c>
      <c r="C32" s="36">
        <v>0</v>
      </c>
      <c r="D32" s="35">
        <v>0</v>
      </c>
      <c r="E32" s="36">
        <v>0</v>
      </c>
      <c r="F32" s="36">
        <v>0</v>
      </c>
      <c r="G32" s="35">
        <v>0</v>
      </c>
      <c r="H32" s="36">
        <v>0</v>
      </c>
      <c r="I32" s="35">
        <v>0</v>
      </c>
      <c r="J32" s="36">
        <v>0</v>
      </c>
      <c r="K32" s="36">
        <v>0</v>
      </c>
      <c r="L32" s="35">
        <v>0</v>
      </c>
      <c r="M32" s="36">
        <v>0</v>
      </c>
      <c r="N32" s="35">
        <v>0</v>
      </c>
      <c r="O32" s="35">
        <v>0</v>
      </c>
      <c r="P32" s="35">
        <v>0</v>
      </c>
      <c r="Q32" s="36">
        <v>0</v>
      </c>
      <c r="R32" s="35">
        <v>0</v>
      </c>
      <c r="S32" s="29">
        <v>270</v>
      </c>
      <c r="T32" s="34">
        <v>595</v>
      </c>
      <c r="U32" s="29">
        <v>45</v>
      </c>
      <c r="V32" s="34">
        <v>515</v>
      </c>
      <c r="W32" s="34">
        <v>595</v>
      </c>
      <c r="X32" s="29">
        <v>119</v>
      </c>
      <c r="Y32" s="34">
        <v>900</v>
      </c>
      <c r="Z32" s="29">
        <v>169</v>
      </c>
      <c r="AA32" s="34">
        <v>510</v>
      </c>
      <c r="AB32" s="34">
        <v>145</v>
      </c>
      <c r="AC32" s="29">
        <v>50</v>
      </c>
    </row>
    <row r="33" spans="1:29" x14ac:dyDescent="0.3">
      <c r="A33" s="27" t="s">
        <v>139</v>
      </c>
      <c r="B33" s="29">
        <v>911</v>
      </c>
      <c r="C33" s="34">
        <v>80</v>
      </c>
      <c r="D33" s="29">
        <v>29</v>
      </c>
      <c r="E33" s="34">
        <v>143</v>
      </c>
      <c r="F33" s="34">
        <v>360</v>
      </c>
      <c r="G33" s="29">
        <v>20</v>
      </c>
      <c r="H33" s="34">
        <v>420</v>
      </c>
      <c r="I33" s="29">
        <v>30</v>
      </c>
      <c r="J33" s="34">
        <v>1280</v>
      </c>
      <c r="K33" s="34">
        <v>33</v>
      </c>
      <c r="L33" s="29">
        <v>300</v>
      </c>
      <c r="M33" s="34">
        <v>100</v>
      </c>
      <c r="N33" s="29">
        <v>75</v>
      </c>
      <c r="O33" s="29">
        <v>617</v>
      </c>
      <c r="P33" s="29">
        <v>168</v>
      </c>
      <c r="Q33" s="34">
        <v>1</v>
      </c>
      <c r="R33" s="29">
        <v>33</v>
      </c>
      <c r="S33" s="35">
        <v>0</v>
      </c>
      <c r="T33" s="36">
        <v>0</v>
      </c>
      <c r="U33" s="35">
        <v>0</v>
      </c>
      <c r="V33" s="36">
        <v>0</v>
      </c>
      <c r="W33" s="36">
        <v>0</v>
      </c>
      <c r="X33" s="35">
        <v>0</v>
      </c>
      <c r="Y33" s="36">
        <v>0</v>
      </c>
      <c r="Z33" s="35">
        <v>0</v>
      </c>
      <c r="AA33" s="36">
        <v>0</v>
      </c>
      <c r="AB33" s="36">
        <v>0</v>
      </c>
      <c r="AC33" s="35">
        <v>0</v>
      </c>
    </row>
    <row r="34" spans="1:29" x14ac:dyDescent="0.3">
      <c r="A34" s="27" t="s">
        <v>140</v>
      </c>
      <c r="B34" s="35">
        <v>0</v>
      </c>
      <c r="C34" s="36">
        <v>0</v>
      </c>
      <c r="D34" s="35">
        <v>0</v>
      </c>
      <c r="E34" s="36">
        <v>0</v>
      </c>
      <c r="F34" s="36">
        <v>0</v>
      </c>
      <c r="G34" s="35">
        <v>0</v>
      </c>
      <c r="H34" s="36">
        <v>0</v>
      </c>
      <c r="I34" s="35">
        <v>0</v>
      </c>
      <c r="J34" s="36">
        <v>0</v>
      </c>
      <c r="K34" s="36">
        <v>0</v>
      </c>
      <c r="L34" s="35">
        <v>0</v>
      </c>
      <c r="M34" s="36">
        <v>0</v>
      </c>
      <c r="N34" s="35">
        <v>0</v>
      </c>
      <c r="O34" s="35">
        <v>0</v>
      </c>
      <c r="P34" s="35">
        <v>0</v>
      </c>
      <c r="Q34" s="36">
        <v>0</v>
      </c>
      <c r="R34" s="35">
        <v>0</v>
      </c>
      <c r="S34" s="35">
        <v>0</v>
      </c>
      <c r="T34" s="36">
        <v>0</v>
      </c>
      <c r="U34" s="35">
        <v>0</v>
      </c>
      <c r="V34" s="36">
        <v>0</v>
      </c>
      <c r="W34" s="36">
        <v>0</v>
      </c>
      <c r="X34" s="35">
        <v>0</v>
      </c>
      <c r="Y34" s="36">
        <v>0</v>
      </c>
      <c r="Z34" s="35">
        <v>0</v>
      </c>
      <c r="AA34" s="36">
        <v>0</v>
      </c>
      <c r="AB34" s="36">
        <v>0</v>
      </c>
      <c r="AC34" s="35">
        <v>0</v>
      </c>
    </row>
    <row r="35" spans="1:29" x14ac:dyDescent="0.3">
      <c r="A35" s="27" t="s">
        <v>141</v>
      </c>
      <c r="B35" s="35">
        <v>0</v>
      </c>
      <c r="C35" s="36">
        <v>0</v>
      </c>
      <c r="D35" s="35">
        <v>0</v>
      </c>
      <c r="E35" s="36">
        <v>0</v>
      </c>
      <c r="F35" s="36">
        <v>0</v>
      </c>
      <c r="G35" s="35">
        <v>0</v>
      </c>
      <c r="H35" s="36">
        <v>0</v>
      </c>
      <c r="I35" s="35">
        <v>0</v>
      </c>
      <c r="J35" s="36">
        <v>0</v>
      </c>
      <c r="K35" s="36">
        <v>0</v>
      </c>
      <c r="L35" s="35">
        <v>0</v>
      </c>
      <c r="M35" s="36">
        <v>0</v>
      </c>
      <c r="N35" s="35">
        <v>0</v>
      </c>
      <c r="O35" s="35">
        <v>0</v>
      </c>
      <c r="P35" s="29">
        <v>9</v>
      </c>
      <c r="Q35" s="36">
        <v>0</v>
      </c>
      <c r="R35" s="35">
        <v>0</v>
      </c>
      <c r="S35" s="35">
        <v>0</v>
      </c>
      <c r="T35" s="36">
        <v>0</v>
      </c>
      <c r="U35" s="29">
        <v>18</v>
      </c>
      <c r="V35" s="36">
        <v>0</v>
      </c>
      <c r="W35" s="34">
        <v>65</v>
      </c>
      <c r="X35" s="35">
        <v>0</v>
      </c>
      <c r="Y35" s="36">
        <v>0</v>
      </c>
      <c r="Z35" s="35">
        <v>0</v>
      </c>
      <c r="AA35" s="34">
        <v>14</v>
      </c>
      <c r="AB35" s="36">
        <v>0</v>
      </c>
      <c r="AC35" s="35">
        <v>0</v>
      </c>
    </row>
    <row r="36" spans="1:29" x14ac:dyDescent="0.3">
      <c r="A36" s="27" t="s">
        <v>142</v>
      </c>
      <c r="B36" s="35">
        <v>0</v>
      </c>
      <c r="C36" s="34">
        <v>20</v>
      </c>
      <c r="D36" s="35">
        <v>0</v>
      </c>
      <c r="E36" s="34">
        <v>100</v>
      </c>
      <c r="F36" s="36">
        <v>0</v>
      </c>
      <c r="G36" s="35">
        <v>0</v>
      </c>
      <c r="H36" s="34">
        <v>40</v>
      </c>
      <c r="I36" s="35">
        <v>0</v>
      </c>
      <c r="J36" s="36">
        <v>0</v>
      </c>
      <c r="K36" s="36">
        <v>0</v>
      </c>
      <c r="L36" s="35">
        <v>0</v>
      </c>
      <c r="M36" s="36">
        <v>0</v>
      </c>
      <c r="N36" s="35">
        <v>0</v>
      </c>
      <c r="O36" s="35">
        <v>0</v>
      </c>
      <c r="P36" s="35">
        <v>0</v>
      </c>
      <c r="Q36" s="36">
        <v>0</v>
      </c>
      <c r="R36" s="35">
        <v>0</v>
      </c>
      <c r="S36" s="35">
        <v>0</v>
      </c>
      <c r="T36" s="36">
        <v>0</v>
      </c>
      <c r="U36" s="35">
        <v>0</v>
      </c>
      <c r="V36" s="36">
        <v>0</v>
      </c>
      <c r="W36" s="36">
        <v>0</v>
      </c>
      <c r="X36" s="35">
        <v>0</v>
      </c>
      <c r="Y36" s="36">
        <v>0</v>
      </c>
      <c r="Z36" s="35">
        <v>0</v>
      </c>
      <c r="AA36" s="36">
        <v>0</v>
      </c>
      <c r="AB36" s="36">
        <v>0</v>
      </c>
      <c r="AC36" s="35">
        <v>0</v>
      </c>
    </row>
    <row r="37" spans="1:29" x14ac:dyDescent="0.3">
      <c r="A37" s="27" t="s">
        <v>143</v>
      </c>
      <c r="B37" s="35">
        <v>0</v>
      </c>
      <c r="C37" s="36">
        <v>0</v>
      </c>
      <c r="D37" s="35">
        <v>0</v>
      </c>
      <c r="E37" s="36">
        <v>0</v>
      </c>
      <c r="F37" s="36">
        <v>0</v>
      </c>
      <c r="G37" s="35">
        <v>0</v>
      </c>
      <c r="H37" s="36">
        <v>0</v>
      </c>
      <c r="I37" s="35">
        <v>0</v>
      </c>
      <c r="J37" s="36">
        <v>0</v>
      </c>
      <c r="K37" s="36">
        <v>0</v>
      </c>
      <c r="L37" s="35">
        <v>0</v>
      </c>
      <c r="M37" s="36">
        <v>0</v>
      </c>
      <c r="N37" s="35">
        <v>0</v>
      </c>
      <c r="O37" s="35">
        <v>0</v>
      </c>
      <c r="P37" s="35">
        <v>0</v>
      </c>
      <c r="Q37" s="36">
        <v>0</v>
      </c>
      <c r="R37" s="35">
        <v>0</v>
      </c>
      <c r="S37" s="35">
        <v>0</v>
      </c>
      <c r="T37" s="36">
        <v>0</v>
      </c>
      <c r="U37" s="35">
        <v>0</v>
      </c>
      <c r="V37" s="36">
        <v>0</v>
      </c>
      <c r="W37" s="36">
        <v>0</v>
      </c>
      <c r="X37" s="29">
        <v>19</v>
      </c>
      <c r="Y37" s="36">
        <v>0</v>
      </c>
      <c r="Z37" s="35">
        <v>0</v>
      </c>
      <c r="AA37" s="36">
        <v>0</v>
      </c>
      <c r="AB37" s="36">
        <v>0</v>
      </c>
      <c r="AC37" s="35">
        <v>0</v>
      </c>
    </row>
    <row r="38" spans="1:29" x14ac:dyDescent="0.3">
      <c r="A38" s="27" t="s">
        <v>144</v>
      </c>
      <c r="B38" s="35">
        <v>0</v>
      </c>
      <c r="C38" s="36">
        <v>0</v>
      </c>
      <c r="D38" s="35">
        <v>0</v>
      </c>
      <c r="E38" s="36">
        <v>0</v>
      </c>
      <c r="F38" s="36">
        <v>0</v>
      </c>
      <c r="G38" s="35">
        <v>0</v>
      </c>
      <c r="H38" s="34">
        <v>20</v>
      </c>
      <c r="I38" s="35">
        <v>0</v>
      </c>
      <c r="J38" s="36">
        <v>0</v>
      </c>
      <c r="K38" s="36">
        <v>0</v>
      </c>
      <c r="L38" s="35">
        <v>0</v>
      </c>
      <c r="M38" s="36">
        <v>0</v>
      </c>
      <c r="N38" s="35">
        <v>0</v>
      </c>
      <c r="O38" s="35">
        <v>0</v>
      </c>
      <c r="P38" s="35">
        <v>0</v>
      </c>
      <c r="Q38" s="36">
        <v>0</v>
      </c>
      <c r="R38" s="35">
        <v>0</v>
      </c>
      <c r="S38" s="35">
        <v>0</v>
      </c>
      <c r="T38" s="36">
        <v>0</v>
      </c>
      <c r="U38" s="35">
        <v>0</v>
      </c>
      <c r="V38" s="36">
        <v>0</v>
      </c>
      <c r="W38" s="36">
        <v>0</v>
      </c>
      <c r="X38" s="35">
        <v>0</v>
      </c>
      <c r="Y38" s="36">
        <v>0</v>
      </c>
      <c r="Z38" s="35">
        <v>0</v>
      </c>
      <c r="AA38" s="36">
        <v>0</v>
      </c>
      <c r="AB38" s="36">
        <v>0</v>
      </c>
      <c r="AC38" s="35">
        <v>0</v>
      </c>
    </row>
    <row r="39" spans="1:29" x14ac:dyDescent="0.3">
      <c r="A39" s="27" t="s">
        <v>145</v>
      </c>
      <c r="B39" s="35">
        <v>0</v>
      </c>
      <c r="C39" s="36">
        <v>0</v>
      </c>
      <c r="D39" s="35">
        <v>0</v>
      </c>
      <c r="E39" s="36">
        <v>0</v>
      </c>
      <c r="F39" s="36">
        <v>0</v>
      </c>
      <c r="G39" s="35">
        <v>0</v>
      </c>
      <c r="H39" s="36">
        <v>0</v>
      </c>
      <c r="I39" s="35">
        <v>0</v>
      </c>
      <c r="J39" s="36">
        <v>0</v>
      </c>
      <c r="K39" s="36">
        <v>0</v>
      </c>
      <c r="L39" s="35">
        <v>0</v>
      </c>
      <c r="M39" s="36">
        <v>0</v>
      </c>
      <c r="N39" s="35">
        <v>0</v>
      </c>
      <c r="O39" s="35">
        <v>0</v>
      </c>
      <c r="P39" s="35">
        <v>0</v>
      </c>
      <c r="Q39" s="36">
        <v>0</v>
      </c>
      <c r="R39" s="35">
        <v>0</v>
      </c>
      <c r="S39" s="35">
        <v>0</v>
      </c>
      <c r="T39" s="36">
        <v>0</v>
      </c>
      <c r="U39" s="35">
        <v>0</v>
      </c>
      <c r="V39" s="36">
        <v>0</v>
      </c>
      <c r="W39" s="36">
        <v>0</v>
      </c>
      <c r="X39" s="35">
        <v>0</v>
      </c>
      <c r="Y39" s="36">
        <v>0</v>
      </c>
      <c r="Z39" s="35">
        <v>0</v>
      </c>
      <c r="AA39" s="36">
        <v>0</v>
      </c>
      <c r="AB39" s="36">
        <v>0</v>
      </c>
      <c r="AC39" s="35">
        <v>0</v>
      </c>
    </row>
    <row r="40" spans="1:29" x14ac:dyDescent="0.3">
      <c r="A40" s="21" t="s">
        <v>146</v>
      </c>
      <c r="B40" s="35">
        <v>0</v>
      </c>
      <c r="C40" s="36">
        <v>0</v>
      </c>
      <c r="D40" s="35">
        <v>0</v>
      </c>
      <c r="E40" s="36">
        <v>0</v>
      </c>
      <c r="F40" s="36">
        <v>0</v>
      </c>
      <c r="G40" s="35">
        <v>0</v>
      </c>
      <c r="H40" s="36">
        <v>0</v>
      </c>
      <c r="I40" s="35">
        <v>0</v>
      </c>
      <c r="J40" s="36">
        <v>0</v>
      </c>
      <c r="K40" s="36">
        <v>0</v>
      </c>
      <c r="L40" s="35">
        <v>0</v>
      </c>
      <c r="M40" s="36">
        <v>0</v>
      </c>
      <c r="N40" s="35">
        <v>0</v>
      </c>
      <c r="O40" s="35">
        <v>0</v>
      </c>
      <c r="P40" s="35">
        <v>0</v>
      </c>
      <c r="Q40" s="36">
        <v>0</v>
      </c>
      <c r="R40" s="35">
        <v>0</v>
      </c>
      <c r="S40" s="35">
        <v>0</v>
      </c>
      <c r="T40" s="36">
        <v>0</v>
      </c>
      <c r="U40" s="35">
        <v>0</v>
      </c>
      <c r="V40" s="36">
        <v>0</v>
      </c>
      <c r="W40" s="36">
        <v>0</v>
      </c>
      <c r="X40" s="35">
        <v>0</v>
      </c>
      <c r="Y40" s="36">
        <v>0</v>
      </c>
      <c r="Z40" s="35">
        <v>0</v>
      </c>
      <c r="AA40" s="36">
        <v>0</v>
      </c>
      <c r="AB40" s="36">
        <v>0</v>
      </c>
      <c r="AC40" s="35">
        <v>0</v>
      </c>
    </row>
    <row r="41" spans="1:29" x14ac:dyDescent="0.3">
      <c r="A41" s="27" t="s">
        <v>147</v>
      </c>
      <c r="B41" s="35">
        <v>0</v>
      </c>
      <c r="C41" s="36">
        <v>0</v>
      </c>
      <c r="D41" s="35">
        <v>0</v>
      </c>
      <c r="E41" s="36">
        <v>0</v>
      </c>
      <c r="F41" s="36">
        <v>0</v>
      </c>
      <c r="G41" s="35">
        <v>0</v>
      </c>
      <c r="H41" s="36">
        <v>0</v>
      </c>
      <c r="I41" s="35">
        <v>0</v>
      </c>
      <c r="J41" s="36">
        <v>0</v>
      </c>
      <c r="K41" s="36">
        <v>0</v>
      </c>
      <c r="L41" s="35">
        <v>0</v>
      </c>
      <c r="M41" s="36">
        <v>0</v>
      </c>
      <c r="N41" s="35">
        <v>0</v>
      </c>
      <c r="O41" s="35">
        <v>0</v>
      </c>
      <c r="P41" s="35">
        <v>0</v>
      </c>
      <c r="Q41" s="36">
        <v>0</v>
      </c>
      <c r="R41" s="35">
        <v>0</v>
      </c>
      <c r="S41" s="35">
        <v>0</v>
      </c>
      <c r="T41" s="36">
        <v>0</v>
      </c>
      <c r="U41" s="35">
        <v>0</v>
      </c>
      <c r="V41" s="36">
        <v>0</v>
      </c>
      <c r="W41" s="36">
        <v>0</v>
      </c>
      <c r="X41" s="29">
        <v>6</v>
      </c>
      <c r="Y41" s="36">
        <v>0</v>
      </c>
      <c r="Z41" s="35">
        <v>0</v>
      </c>
      <c r="AA41" s="36">
        <v>0</v>
      </c>
      <c r="AB41" s="36">
        <v>0</v>
      </c>
      <c r="AC41" s="35">
        <v>0</v>
      </c>
    </row>
    <row r="42" spans="1:29" x14ac:dyDescent="0.3">
      <c r="A42" s="21" t="s">
        <v>148</v>
      </c>
      <c r="B42" s="35">
        <v>0</v>
      </c>
      <c r="C42" s="36">
        <v>0</v>
      </c>
      <c r="D42" s="35">
        <v>0</v>
      </c>
      <c r="E42" s="36">
        <v>0</v>
      </c>
      <c r="F42" s="36">
        <v>0</v>
      </c>
      <c r="G42" s="35">
        <v>0</v>
      </c>
      <c r="H42" s="36">
        <v>0</v>
      </c>
      <c r="I42" s="35">
        <v>0</v>
      </c>
      <c r="J42" s="36">
        <v>0</v>
      </c>
      <c r="K42" s="36">
        <v>0</v>
      </c>
      <c r="L42" s="35">
        <v>0</v>
      </c>
      <c r="M42" s="36">
        <v>0</v>
      </c>
      <c r="N42" s="35">
        <v>0</v>
      </c>
      <c r="O42" s="35">
        <v>0</v>
      </c>
      <c r="P42" s="35">
        <v>0</v>
      </c>
      <c r="Q42" s="36">
        <v>0</v>
      </c>
      <c r="R42" s="35">
        <v>0</v>
      </c>
      <c r="S42" s="35">
        <v>0</v>
      </c>
      <c r="T42" s="36">
        <v>0</v>
      </c>
      <c r="U42" s="35">
        <v>0</v>
      </c>
      <c r="V42" s="36">
        <v>0</v>
      </c>
      <c r="W42" s="36">
        <v>0</v>
      </c>
      <c r="X42" s="35">
        <v>0</v>
      </c>
      <c r="Y42" s="36">
        <v>0</v>
      </c>
      <c r="Z42" s="35">
        <v>0</v>
      </c>
      <c r="AA42" s="36">
        <v>0</v>
      </c>
      <c r="AB42" s="36">
        <v>0</v>
      </c>
      <c r="AC42" s="35">
        <v>0</v>
      </c>
    </row>
    <row r="43" spans="1:29" x14ac:dyDescent="0.3">
      <c r="A43" s="27" t="s">
        <v>149</v>
      </c>
      <c r="B43" s="35">
        <v>0</v>
      </c>
      <c r="C43" s="34">
        <v>30</v>
      </c>
      <c r="D43" s="35">
        <v>0</v>
      </c>
      <c r="E43" s="36">
        <v>0</v>
      </c>
      <c r="F43" s="36">
        <v>0</v>
      </c>
      <c r="G43" s="35">
        <v>0</v>
      </c>
      <c r="H43" s="36">
        <v>0</v>
      </c>
      <c r="I43" s="35">
        <v>0</v>
      </c>
      <c r="J43" s="36">
        <v>0</v>
      </c>
      <c r="K43" s="36">
        <v>0</v>
      </c>
      <c r="L43" s="29">
        <v>140</v>
      </c>
      <c r="M43" s="34">
        <v>20</v>
      </c>
      <c r="N43" s="35">
        <v>0</v>
      </c>
      <c r="O43" s="35">
        <v>0</v>
      </c>
      <c r="P43" s="29">
        <v>55</v>
      </c>
      <c r="Q43" s="36">
        <v>0</v>
      </c>
      <c r="R43" s="35">
        <v>0</v>
      </c>
      <c r="S43" s="35">
        <v>0</v>
      </c>
      <c r="T43" s="36">
        <v>0</v>
      </c>
      <c r="U43" s="35">
        <v>0</v>
      </c>
      <c r="V43" s="36">
        <v>0</v>
      </c>
      <c r="W43" s="36">
        <v>0</v>
      </c>
      <c r="X43" s="35">
        <v>0</v>
      </c>
      <c r="Y43" s="36">
        <v>0</v>
      </c>
      <c r="Z43" s="35">
        <v>0</v>
      </c>
      <c r="AA43" s="36">
        <v>0</v>
      </c>
      <c r="AB43" s="34">
        <v>5</v>
      </c>
      <c r="AC43" s="35">
        <v>0</v>
      </c>
    </row>
    <row r="44" spans="1:29" x14ac:dyDescent="0.3">
      <c r="A44" s="27" t="s">
        <v>150</v>
      </c>
      <c r="B44" s="35">
        <v>0</v>
      </c>
      <c r="C44" s="36">
        <v>0</v>
      </c>
      <c r="D44" s="35">
        <v>0</v>
      </c>
      <c r="E44" s="36">
        <v>0</v>
      </c>
      <c r="F44" s="36">
        <v>0</v>
      </c>
      <c r="G44" s="35">
        <v>0</v>
      </c>
      <c r="H44" s="36">
        <v>0</v>
      </c>
      <c r="I44" s="35">
        <v>0</v>
      </c>
      <c r="J44" s="36">
        <v>0</v>
      </c>
      <c r="K44" s="36">
        <v>0</v>
      </c>
      <c r="L44" s="35">
        <v>0</v>
      </c>
      <c r="M44" s="36">
        <v>0</v>
      </c>
      <c r="N44" s="35">
        <v>0</v>
      </c>
      <c r="O44" s="35">
        <v>0</v>
      </c>
      <c r="P44" s="35">
        <v>0</v>
      </c>
      <c r="Q44" s="36">
        <v>0</v>
      </c>
      <c r="R44" s="35">
        <v>0</v>
      </c>
      <c r="S44" s="35">
        <v>0</v>
      </c>
      <c r="T44" s="36">
        <v>0</v>
      </c>
      <c r="U44" s="35">
        <v>0</v>
      </c>
      <c r="V44" s="36">
        <v>0</v>
      </c>
      <c r="W44" s="36">
        <v>0</v>
      </c>
      <c r="X44" s="29">
        <v>31</v>
      </c>
      <c r="Y44" s="36">
        <v>0</v>
      </c>
      <c r="Z44" s="35">
        <v>0</v>
      </c>
      <c r="AA44" s="36">
        <v>0</v>
      </c>
      <c r="AB44" s="36">
        <v>0</v>
      </c>
      <c r="AC44" s="35">
        <v>0</v>
      </c>
    </row>
    <row r="45" spans="1:29" x14ac:dyDescent="0.3">
      <c r="A45" s="21" t="s">
        <v>151</v>
      </c>
      <c r="B45" s="35">
        <v>0</v>
      </c>
      <c r="C45" s="34">
        <v>10</v>
      </c>
      <c r="D45" s="29">
        <v>14</v>
      </c>
      <c r="E45" s="34">
        <v>100</v>
      </c>
      <c r="F45" s="36">
        <v>0</v>
      </c>
      <c r="G45" s="29">
        <v>20</v>
      </c>
      <c r="H45" s="36">
        <v>0</v>
      </c>
      <c r="I45" s="35">
        <v>0</v>
      </c>
      <c r="J45" s="34">
        <v>2180</v>
      </c>
      <c r="K45" s="34">
        <v>700</v>
      </c>
      <c r="L45" s="35">
        <v>0</v>
      </c>
      <c r="M45" s="36">
        <v>0</v>
      </c>
      <c r="N45" s="29">
        <v>50</v>
      </c>
      <c r="O45" s="35">
        <v>0</v>
      </c>
      <c r="P45" s="35">
        <v>0</v>
      </c>
      <c r="Q45" s="34">
        <v>3</v>
      </c>
      <c r="R45" s="29">
        <v>5</v>
      </c>
      <c r="S45" s="35">
        <v>0</v>
      </c>
      <c r="T45" s="36">
        <v>0</v>
      </c>
      <c r="U45" s="35">
        <v>0</v>
      </c>
      <c r="V45" s="36">
        <v>0</v>
      </c>
      <c r="W45" s="36">
        <v>0</v>
      </c>
      <c r="X45" s="29">
        <v>44</v>
      </c>
      <c r="Y45" s="36">
        <v>0</v>
      </c>
      <c r="Z45" s="35">
        <v>0</v>
      </c>
      <c r="AA45" s="36">
        <v>0</v>
      </c>
      <c r="AB45" s="36">
        <v>0</v>
      </c>
      <c r="AC45" s="35">
        <v>0</v>
      </c>
    </row>
    <row r="46" spans="1:29" x14ac:dyDescent="0.3">
      <c r="A46" s="27" t="s">
        <v>152</v>
      </c>
      <c r="B46" s="35">
        <v>0</v>
      </c>
      <c r="C46" s="36">
        <v>0</v>
      </c>
      <c r="D46" s="35">
        <v>0</v>
      </c>
      <c r="E46" s="36">
        <v>0</v>
      </c>
      <c r="F46" s="36">
        <v>0</v>
      </c>
      <c r="G46" s="35">
        <v>0</v>
      </c>
      <c r="H46" s="36">
        <v>0</v>
      </c>
      <c r="I46" s="35">
        <v>0</v>
      </c>
      <c r="J46" s="36">
        <v>0</v>
      </c>
      <c r="K46" s="36">
        <v>0</v>
      </c>
      <c r="L46" s="35">
        <v>0</v>
      </c>
      <c r="M46" s="36">
        <v>0</v>
      </c>
      <c r="N46" s="35">
        <v>0</v>
      </c>
      <c r="O46" s="35">
        <v>0</v>
      </c>
      <c r="P46" s="35">
        <v>0</v>
      </c>
      <c r="Q46" s="36">
        <v>0</v>
      </c>
      <c r="R46" s="35">
        <v>0</v>
      </c>
      <c r="S46" s="35">
        <v>0</v>
      </c>
      <c r="T46" s="36">
        <v>0</v>
      </c>
      <c r="U46" s="35">
        <v>0</v>
      </c>
      <c r="V46" s="36">
        <v>0</v>
      </c>
      <c r="W46" s="36">
        <v>0</v>
      </c>
      <c r="X46" s="29">
        <v>531</v>
      </c>
      <c r="Y46" s="36">
        <v>0</v>
      </c>
      <c r="Z46" s="35">
        <v>0</v>
      </c>
      <c r="AA46" s="36">
        <v>0</v>
      </c>
      <c r="AB46" s="36">
        <v>0</v>
      </c>
      <c r="AC46" s="29">
        <v>14</v>
      </c>
    </row>
    <row r="47" spans="1:29" x14ac:dyDescent="0.3">
      <c r="A47" s="27" t="s">
        <v>153</v>
      </c>
      <c r="B47" s="35">
        <v>0</v>
      </c>
      <c r="C47" s="36">
        <v>0</v>
      </c>
      <c r="D47" s="35">
        <v>0</v>
      </c>
      <c r="E47" s="36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6">
        <v>0</v>
      </c>
      <c r="L47" s="35">
        <v>0</v>
      </c>
      <c r="M47" s="36">
        <v>0</v>
      </c>
      <c r="N47" s="35">
        <v>0</v>
      </c>
      <c r="O47" s="35">
        <v>0</v>
      </c>
      <c r="P47" s="35">
        <v>0</v>
      </c>
      <c r="Q47" s="36">
        <v>0</v>
      </c>
      <c r="R47" s="35">
        <v>0</v>
      </c>
      <c r="S47" s="35">
        <v>0</v>
      </c>
      <c r="T47" s="36">
        <v>0</v>
      </c>
      <c r="U47" s="35">
        <v>0</v>
      </c>
      <c r="V47" s="36">
        <v>0</v>
      </c>
      <c r="W47" s="36">
        <v>0</v>
      </c>
      <c r="X47" s="29">
        <v>106</v>
      </c>
      <c r="Y47" s="36">
        <v>0</v>
      </c>
      <c r="Z47" s="35">
        <v>0</v>
      </c>
      <c r="AA47" s="36">
        <v>0</v>
      </c>
      <c r="AB47" s="36">
        <v>0</v>
      </c>
      <c r="AC47" s="35">
        <v>0</v>
      </c>
    </row>
    <row r="48" spans="1:29" x14ac:dyDescent="0.3">
      <c r="A48" s="27" t="s">
        <v>154</v>
      </c>
      <c r="B48" s="35">
        <v>0</v>
      </c>
      <c r="C48" s="36">
        <v>0</v>
      </c>
      <c r="D48" s="35">
        <v>0</v>
      </c>
      <c r="E48" s="36">
        <v>0</v>
      </c>
      <c r="F48" s="36">
        <v>0</v>
      </c>
      <c r="G48" s="35">
        <v>0</v>
      </c>
      <c r="H48" s="36">
        <v>0</v>
      </c>
      <c r="I48" s="35">
        <v>0</v>
      </c>
      <c r="J48" s="36">
        <v>0</v>
      </c>
      <c r="K48" s="36">
        <v>0</v>
      </c>
      <c r="L48" s="35">
        <v>0</v>
      </c>
      <c r="M48" s="36">
        <v>0</v>
      </c>
      <c r="N48" s="35">
        <v>0</v>
      </c>
      <c r="O48" s="35">
        <v>0</v>
      </c>
      <c r="P48" s="35">
        <v>0</v>
      </c>
      <c r="Q48" s="36">
        <v>0</v>
      </c>
      <c r="R48" s="35">
        <v>0</v>
      </c>
      <c r="S48" s="35">
        <v>0</v>
      </c>
      <c r="T48" s="36">
        <v>0</v>
      </c>
      <c r="U48" s="35">
        <v>0</v>
      </c>
      <c r="V48" s="36">
        <v>0</v>
      </c>
      <c r="W48" s="36">
        <v>0</v>
      </c>
      <c r="X48" s="35">
        <v>0</v>
      </c>
      <c r="Y48" s="36">
        <v>0</v>
      </c>
      <c r="Z48" s="35">
        <v>0</v>
      </c>
      <c r="AA48" s="36">
        <v>0</v>
      </c>
      <c r="AB48" s="36">
        <v>0</v>
      </c>
      <c r="AC48" s="35">
        <v>0</v>
      </c>
    </row>
    <row r="49" spans="1:29" x14ac:dyDescent="0.3">
      <c r="A49" s="27" t="s">
        <v>155</v>
      </c>
      <c r="B49" s="35">
        <v>0</v>
      </c>
      <c r="C49" s="36">
        <v>0</v>
      </c>
      <c r="D49" s="35">
        <v>0</v>
      </c>
      <c r="E49" s="36">
        <v>0</v>
      </c>
      <c r="F49" s="36">
        <v>0</v>
      </c>
      <c r="G49" s="35">
        <v>0</v>
      </c>
      <c r="H49" s="36">
        <v>0</v>
      </c>
      <c r="I49" s="35">
        <v>0</v>
      </c>
      <c r="J49" s="36">
        <v>0</v>
      </c>
      <c r="K49" s="36">
        <v>0</v>
      </c>
      <c r="L49" s="35">
        <v>0</v>
      </c>
      <c r="M49" s="36">
        <v>0</v>
      </c>
      <c r="N49" s="35">
        <v>0</v>
      </c>
      <c r="O49" s="35">
        <v>0</v>
      </c>
      <c r="P49" s="35">
        <v>0</v>
      </c>
      <c r="Q49" s="36">
        <v>0</v>
      </c>
      <c r="R49" s="35">
        <v>0</v>
      </c>
      <c r="S49" s="29">
        <v>4</v>
      </c>
      <c r="T49" s="36">
        <v>0</v>
      </c>
      <c r="U49" s="35">
        <v>0</v>
      </c>
      <c r="V49" s="34">
        <v>4</v>
      </c>
      <c r="W49" s="34">
        <v>15</v>
      </c>
      <c r="X49" s="35">
        <v>0</v>
      </c>
      <c r="Y49" s="36">
        <v>0</v>
      </c>
      <c r="Z49" s="29">
        <v>38</v>
      </c>
      <c r="AA49" s="34">
        <v>21</v>
      </c>
      <c r="AB49" s="36">
        <v>0</v>
      </c>
      <c r="AC49" s="35">
        <v>0</v>
      </c>
    </row>
    <row r="50" spans="1:29" x14ac:dyDescent="0.3">
      <c r="A50" s="27" t="s">
        <v>156</v>
      </c>
      <c r="B50" s="35">
        <v>0</v>
      </c>
      <c r="C50" s="36">
        <v>0</v>
      </c>
      <c r="D50" s="35">
        <v>0</v>
      </c>
      <c r="E50" s="36">
        <v>0</v>
      </c>
      <c r="F50" s="36">
        <v>0</v>
      </c>
      <c r="G50" s="35">
        <v>0</v>
      </c>
      <c r="H50" s="36">
        <v>0</v>
      </c>
      <c r="I50" s="35">
        <v>0</v>
      </c>
      <c r="J50" s="36">
        <v>0</v>
      </c>
      <c r="K50" s="36">
        <v>0</v>
      </c>
      <c r="L50" s="35">
        <v>0</v>
      </c>
      <c r="M50" s="36">
        <v>0</v>
      </c>
      <c r="N50" s="35">
        <v>0</v>
      </c>
      <c r="O50" s="35">
        <v>0</v>
      </c>
      <c r="P50" s="35">
        <v>0</v>
      </c>
      <c r="Q50" s="36">
        <v>0</v>
      </c>
      <c r="R50" s="35">
        <v>0</v>
      </c>
      <c r="S50" s="35">
        <v>0</v>
      </c>
      <c r="T50" s="36">
        <v>0</v>
      </c>
      <c r="U50" s="35">
        <v>0</v>
      </c>
      <c r="V50" s="36">
        <v>0</v>
      </c>
      <c r="W50" s="36">
        <v>0</v>
      </c>
      <c r="X50" s="35">
        <v>0</v>
      </c>
      <c r="Y50" s="36">
        <v>0</v>
      </c>
      <c r="Z50" s="35">
        <v>0</v>
      </c>
      <c r="AA50" s="36">
        <v>0</v>
      </c>
      <c r="AB50" s="36">
        <v>0</v>
      </c>
      <c r="AC50" s="35">
        <v>0</v>
      </c>
    </row>
    <row r="51" spans="1:29" x14ac:dyDescent="0.3">
      <c r="A51" s="27" t="s">
        <v>157</v>
      </c>
      <c r="B51" s="35">
        <v>0</v>
      </c>
      <c r="C51" s="36">
        <v>0</v>
      </c>
      <c r="D51" s="35">
        <v>0</v>
      </c>
      <c r="E51" s="36">
        <v>0</v>
      </c>
      <c r="F51" s="36">
        <v>0</v>
      </c>
      <c r="G51" s="35">
        <v>0</v>
      </c>
      <c r="H51" s="36">
        <v>0</v>
      </c>
      <c r="I51" s="35">
        <v>0</v>
      </c>
      <c r="J51" s="36">
        <v>0</v>
      </c>
      <c r="K51" s="36">
        <v>0</v>
      </c>
      <c r="L51" s="35">
        <v>0</v>
      </c>
      <c r="M51" s="36">
        <v>0</v>
      </c>
      <c r="N51" s="35">
        <v>0</v>
      </c>
      <c r="O51" s="35">
        <v>0</v>
      </c>
      <c r="P51" s="35">
        <v>0</v>
      </c>
      <c r="Q51" s="36">
        <v>0</v>
      </c>
      <c r="R51" s="35">
        <v>0</v>
      </c>
      <c r="S51" s="35">
        <v>0</v>
      </c>
      <c r="T51" s="34">
        <v>5</v>
      </c>
      <c r="U51" s="29">
        <v>9</v>
      </c>
      <c r="V51" s="36">
        <v>0</v>
      </c>
      <c r="W51" s="36">
        <v>0</v>
      </c>
      <c r="X51" s="35">
        <v>0</v>
      </c>
      <c r="Y51" s="34">
        <v>29</v>
      </c>
      <c r="Z51" s="35">
        <v>0</v>
      </c>
      <c r="AA51" s="36">
        <v>0</v>
      </c>
      <c r="AB51" s="36">
        <v>0</v>
      </c>
      <c r="AC51" s="35">
        <v>0</v>
      </c>
    </row>
    <row r="52" spans="1:29" x14ac:dyDescent="0.3">
      <c r="A52" s="27" t="s">
        <v>158</v>
      </c>
      <c r="B52" s="29">
        <v>56</v>
      </c>
      <c r="C52" s="34">
        <v>10</v>
      </c>
      <c r="D52" s="35">
        <v>0</v>
      </c>
      <c r="E52" s="36">
        <v>0</v>
      </c>
      <c r="F52" s="34">
        <v>660</v>
      </c>
      <c r="G52" s="29">
        <v>1260</v>
      </c>
      <c r="H52" s="34">
        <v>220</v>
      </c>
      <c r="I52" s="35">
        <v>0</v>
      </c>
      <c r="J52" s="36">
        <v>0</v>
      </c>
      <c r="K52" s="34">
        <v>783</v>
      </c>
      <c r="L52" s="29">
        <v>20</v>
      </c>
      <c r="M52" s="36">
        <v>0</v>
      </c>
      <c r="N52" s="35">
        <v>0</v>
      </c>
      <c r="O52" s="35">
        <v>0</v>
      </c>
      <c r="P52" s="29">
        <v>427</v>
      </c>
      <c r="Q52" s="36">
        <v>0</v>
      </c>
      <c r="R52" s="29">
        <v>29</v>
      </c>
      <c r="S52" s="35">
        <v>0</v>
      </c>
      <c r="T52" s="36">
        <v>0</v>
      </c>
      <c r="U52" s="35">
        <v>0</v>
      </c>
      <c r="V52" s="36">
        <v>0</v>
      </c>
      <c r="W52" s="36">
        <v>0</v>
      </c>
      <c r="X52" s="35">
        <v>0</v>
      </c>
      <c r="Y52" s="36">
        <v>0</v>
      </c>
      <c r="Z52" s="35">
        <v>0</v>
      </c>
      <c r="AA52" s="36">
        <v>0</v>
      </c>
      <c r="AB52" s="36">
        <v>0</v>
      </c>
      <c r="AC52" s="35">
        <v>0</v>
      </c>
    </row>
    <row r="53" spans="1:29" x14ac:dyDescent="0.3">
      <c r="A53" s="27" t="s">
        <v>159</v>
      </c>
      <c r="B53" s="35">
        <v>0</v>
      </c>
      <c r="C53" s="36">
        <v>0</v>
      </c>
      <c r="D53" s="35">
        <v>0</v>
      </c>
      <c r="E53" s="36">
        <v>0</v>
      </c>
      <c r="F53" s="36">
        <v>0</v>
      </c>
      <c r="G53" s="35">
        <v>0</v>
      </c>
      <c r="H53" s="36">
        <v>0</v>
      </c>
      <c r="I53" s="35">
        <v>0</v>
      </c>
      <c r="J53" s="36">
        <v>0</v>
      </c>
      <c r="K53" s="36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6">
        <v>0</v>
      </c>
      <c r="R53" s="35">
        <v>0</v>
      </c>
      <c r="S53" s="29">
        <v>26</v>
      </c>
      <c r="T53" s="34">
        <v>21</v>
      </c>
      <c r="U53" s="35">
        <v>0</v>
      </c>
      <c r="V53" s="34">
        <v>219</v>
      </c>
      <c r="W53" s="34">
        <v>40</v>
      </c>
      <c r="X53" s="35">
        <v>0</v>
      </c>
      <c r="Y53" s="36">
        <v>0</v>
      </c>
      <c r="Z53" s="35">
        <v>0</v>
      </c>
      <c r="AA53" s="34">
        <v>21</v>
      </c>
      <c r="AB53" s="34">
        <v>305</v>
      </c>
      <c r="AC53" s="35">
        <v>0</v>
      </c>
    </row>
    <row r="54" spans="1:29" x14ac:dyDescent="0.3">
      <c r="A54" s="27" t="s">
        <v>160</v>
      </c>
      <c r="B54" s="35">
        <v>0</v>
      </c>
      <c r="C54" s="36">
        <v>0</v>
      </c>
      <c r="D54" s="35">
        <v>0</v>
      </c>
      <c r="E54" s="34">
        <v>171</v>
      </c>
      <c r="F54" s="34">
        <v>140</v>
      </c>
      <c r="G54" s="29">
        <v>400</v>
      </c>
      <c r="H54" s="34">
        <v>80</v>
      </c>
      <c r="I54" s="29">
        <v>30</v>
      </c>
      <c r="J54" s="34">
        <v>560</v>
      </c>
      <c r="K54" s="34">
        <v>1033</v>
      </c>
      <c r="L54" s="29">
        <v>60</v>
      </c>
      <c r="M54" s="36">
        <v>0</v>
      </c>
      <c r="N54" s="35">
        <v>0</v>
      </c>
      <c r="O54" s="29">
        <v>17</v>
      </c>
      <c r="P54" s="29">
        <v>145</v>
      </c>
      <c r="Q54" s="36">
        <v>0</v>
      </c>
      <c r="R54" s="29">
        <v>25</v>
      </c>
      <c r="S54" s="35">
        <v>0</v>
      </c>
      <c r="T54" s="36">
        <v>0</v>
      </c>
      <c r="U54" s="29">
        <v>664</v>
      </c>
      <c r="V54" s="36">
        <v>0</v>
      </c>
      <c r="W54" s="36">
        <v>0</v>
      </c>
      <c r="X54" s="35">
        <v>0</v>
      </c>
      <c r="Y54" s="36">
        <v>0</v>
      </c>
      <c r="Z54" s="29">
        <v>81</v>
      </c>
      <c r="AA54" s="36">
        <v>0</v>
      </c>
      <c r="AB54" s="36">
        <v>0</v>
      </c>
      <c r="AC54" s="29">
        <v>379</v>
      </c>
    </row>
    <row r="55" spans="1:29" x14ac:dyDescent="0.3">
      <c r="A55" s="27" t="s">
        <v>161</v>
      </c>
      <c r="B55" s="35">
        <v>0</v>
      </c>
      <c r="C55" s="36">
        <v>0</v>
      </c>
      <c r="D55" s="35">
        <v>0</v>
      </c>
      <c r="E55" s="36">
        <v>0</v>
      </c>
      <c r="F55" s="36">
        <v>0</v>
      </c>
      <c r="G55" s="35">
        <v>0</v>
      </c>
      <c r="H55" s="36">
        <v>0</v>
      </c>
      <c r="I55" s="35">
        <v>0</v>
      </c>
      <c r="J55" s="36">
        <v>0</v>
      </c>
      <c r="K55" s="36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6">
        <v>0</v>
      </c>
      <c r="R55" s="35">
        <v>0</v>
      </c>
      <c r="S55" s="35">
        <v>0</v>
      </c>
      <c r="T55" s="36">
        <v>0</v>
      </c>
      <c r="U55" s="35">
        <v>0</v>
      </c>
      <c r="V55" s="36">
        <v>0</v>
      </c>
      <c r="W55" s="36">
        <v>0</v>
      </c>
      <c r="X55" s="35">
        <v>0</v>
      </c>
      <c r="Y55" s="34">
        <v>6</v>
      </c>
      <c r="Z55" s="35">
        <v>0</v>
      </c>
      <c r="AA55" s="36">
        <v>0</v>
      </c>
      <c r="AB55" s="36">
        <v>0</v>
      </c>
      <c r="AC55" s="35">
        <v>0</v>
      </c>
    </row>
    <row r="56" spans="1:29" x14ac:dyDescent="0.3">
      <c r="A56" s="27" t="s">
        <v>162</v>
      </c>
      <c r="B56" s="35">
        <v>0</v>
      </c>
      <c r="C56" s="36">
        <v>0</v>
      </c>
      <c r="D56" s="35">
        <v>0</v>
      </c>
      <c r="E56" s="36">
        <v>0</v>
      </c>
      <c r="F56" s="36">
        <v>0</v>
      </c>
      <c r="G56" s="35">
        <v>0</v>
      </c>
      <c r="H56" s="34">
        <v>20</v>
      </c>
      <c r="I56" s="35">
        <v>0</v>
      </c>
      <c r="J56" s="36">
        <v>0</v>
      </c>
      <c r="K56" s="36">
        <v>0</v>
      </c>
      <c r="L56" s="35">
        <v>0</v>
      </c>
      <c r="M56" s="36">
        <v>0</v>
      </c>
      <c r="N56" s="35">
        <v>0</v>
      </c>
      <c r="O56" s="35">
        <v>0</v>
      </c>
      <c r="P56" s="35">
        <v>0</v>
      </c>
      <c r="Q56" s="36">
        <v>0</v>
      </c>
      <c r="R56" s="35">
        <v>0</v>
      </c>
      <c r="S56" s="35">
        <v>0</v>
      </c>
      <c r="T56" s="36">
        <v>0</v>
      </c>
      <c r="U56" s="35">
        <v>0</v>
      </c>
      <c r="V56" s="36">
        <v>0</v>
      </c>
      <c r="W56" s="36">
        <v>0</v>
      </c>
      <c r="X56" s="35">
        <v>0</v>
      </c>
      <c r="Y56" s="36">
        <v>0</v>
      </c>
      <c r="Z56" s="35">
        <v>0</v>
      </c>
      <c r="AA56" s="36">
        <v>0</v>
      </c>
      <c r="AB56" s="36">
        <v>0</v>
      </c>
      <c r="AC56" s="35">
        <v>0</v>
      </c>
    </row>
    <row r="57" spans="1:29" x14ac:dyDescent="0.3">
      <c r="A57" s="27" t="s">
        <v>163</v>
      </c>
      <c r="B57" s="35">
        <v>0</v>
      </c>
      <c r="C57" s="36">
        <v>0</v>
      </c>
      <c r="D57" s="35">
        <v>0</v>
      </c>
      <c r="E57" s="36">
        <v>0</v>
      </c>
      <c r="F57" s="36">
        <v>0</v>
      </c>
      <c r="G57" s="35">
        <v>0</v>
      </c>
      <c r="H57" s="36">
        <v>0</v>
      </c>
      <c r="I57" s="35">
        <v>0</v>
      </c>
      <c r="J57" s="36">
        <v>0</v>
      </c>
      <c r="K57" s="36">
        <v>0</v>
      </c>
      <c r="L57" s="35">
        <v>0</v>
      </c>
      <c r="M57" s="36">
        <v>0</v>
      </c>
      <c r="N57" s="35">
        <v>0</v>
      </c>
      <c r="O57" s="35">
        <v>0</v>
      </c>
      <c r="P57" s="35">
        <v>0</v>
      </c>
      <c r="Q57" s="36">
        <v>0</v>
      </c>
      <c r="R57" s="35">
        <v>0</v>
      </c>
      <c r="S57" s="35">
        <v>0</v>
      </c>
      <c r="T57" s="36">
        <v>0</v>
      </c>
      <c r="U57" s="35">
        <v>0</v>
      </c>
      <c r="V57" s="36">
        <v>0</v>
      </c>
      <c r="W57" s="36">
        <v>0</v>
      </c>
      <c r="X57" s="35">
        <v>0</v>
      </c>
      <c r="Y57" s="36">
        <v>0</v>
      </c>
      <c r="Z57" s="35">
        <v>0</v>
      </c>
      <c r="AA57" s="36">
        <v>0</v>
      </c>
      <c r="AB57" s="36">
        <v>0</v>
      </c>
      <c r="AC57" s="35">
        <v>0</v>
      </c>
    </row>
    <row r="58" spans="1:29" x14ac:dyDescent="0.3">
      <c r="A58" s="21" t="s">
        <v>164</v>
      </c>
      <c r="B58" s="35">
        <v>0</v>
      </c>
      <c r="C58" s="36">
        <v>0</v>
      </c>
      <c r="D58" s="35">
        <v>0</v>
      </c>
      <c r="E58" s="36">
        <v>0</v>
      </c>
      <c r="F58" s="36">
        <v>0</v>
      </c>
      <c r="G58" s="35">
        <v>0</v>
      </c>
      <c r="H58" s="36">
        <v>0</v>
      </c>
      <c r="I58" s="35">
        <v>0</v>
      </c>
      <c r="J58" s="36">
        <v>0</v>
      </c>
      <c r="K58" s="36">
        <v>0</v>
      </c>
      <c r="L58" s="35">
        <v>0</v>
      </c>
      <c r="M58" s="36">
        <v>0</v>
      </c>
      <c r="N58" s="35">
        <v>0</v>
      </c>
      <c r="O58" s="35">
        <v>0</v>
      </c>
      <c r="P58" s="35">
        <v>0</v>
      </c>
      <c r="Q58" s="36">
        <v>0</v>
      </c>
      <c r="R58" s="35">
        <v>0</v>
      </c>
      <c r="S58" s="35">
        <v>0</v>
      </c>
      <c r="T58" s="36">
        <v>0</v>
      </c>
      <c r="U58" s="35">
        <v>0</v>
      </c>
      <c r="V58" s="36">
        <v>0</v>
      </c>
      <c r="W58" s="36">
        <v>0</v>
      </c>
      <c r="X58" s="35">
        <v>0</v>
      </c>
      <c r="Y58" s="36">
        <v>0</v>
      </c>
      <c r="Z58" s="35">
        <v>0</v>
      </c>
      <c r="AA58" s="36">
        <v>0</v>
      </c>
      <c r="AB58" s="36">
        <v>0</v>
      </c>
      <c r="AC58" s="35">
        <v>0</v>
      </c>
    </row>
    <row r="59" spans="1:29" x14ac:dyDescent="0.3">
      <c r="A59" s="27" t="s">
        <v>165</v>
      </c>
      <c r="B59" s="35">
        <v>0</v>
      </c>
      <c r="C59" s="36">
        <v>0</v>
      </c>
      <c r="D59" s="35">
        <v>0</v>
      </c>
      <c r="E59" s="36">
        <v>0</v>
      </c>
      <c r="F59" s="36">
        <v>0</v>
      </c>
      <c r="G59" s="35">
        <v>0</v>
      </c>
      <c r="H59" s="36">
        <v>0</v>
      </c>
      <c r="I59" s="35">
        <v>0</v>
      </c>
      <c r="J59" s="36">
        <v>0</v>
      </c>
      <c r="K59" s="36">
        <v>0</v>
      </c>
      <c r="L59" s="35">
        <v>0</v>
      </c>
      <c r="M59" s="36">
        <v>0</v>
      </c>
      <c r="N59" s="35">
        <v>0</v>
      </c>
      <c r="O59" s="35">
        <v>0</v>
      </c>
      <c r="P59" s="35">
        <v>0</v>
      </c>
      <c r="Q59" s="36">
        <v>0</v>
      </c>
      <c r="R59" s="35">
        <v>0</v>
      </c>
      <c r="S59" s="35">
        <v>0</v>
      </c>
      <c r="T59" s="36">
        <v>0</v>
      </c>
      <c r="U59" s="35">
        <v>0</v>
      </c>
      <c r="V59" s="36">
        <v>0</v>
      </c>
      <c r="W59" s="36">
        <v>0</v>
      </c>
      <c r="X59" s="35">
        <v>0</v>
      </c>
      <c r="Y59" s="36">
        <v>0</v>
      </c>
      <c r="Z59" s="35">
        <v>0</v>
      </c>
      <c r="AA59" s="36">
        <v>0</v>
      </c>
      <c r="AB59" s="36">
        <v>0</v>
      </c>
      <c r="AC59" s="35">
        <v>0</v>
      </c>
    </row>
    <row r="60" spans="1:29" x14ac:dyDescent="0.3">
      <c r="A60" s="27" t="s">
        <v>166</v>
      </c>
      <c r="B60" s="35">
        <v>0</v>
      </c>
      <c r="C60" s="36">
        <v>0</v>
      </c>
      <c r="D60" s="35">
        <v>0</v>
      </c>
      <c r="E60" s="36">
        <v>0</v>
      </c>
      <c r="F60" s="36">
        <v>0</v>
      </c>
      <c r="G60" s="35">
        <v>0</v>
      </c>
      <c r="H60" s="36">
        <v>0</v>
      </c>
      <c r="I60" s="35">
        <v>0</v>
      </c>
      <c r="J60" s="36">
        <v>0</v>
      </c>
      <c r="K60" s="36">
        <v>0</v>
      </c>
      <c r="L60" s="35">
        <v>0</v>
      </c>
      <c r="M60" s="36">
        <v>0</v>
      </c>
      <c r="N60" s="35">
        <v>0</v>
      </c>
      <c r="O60" s="35">
        <v>0</v>
      </c>
      <c r="P60" s="35">
        <v>0</v>
      </c>
      <c r="Q60" s="36">
        <v>0</v>
      </c>
      <c r="R60" s="35">
        <v>0</v>
      </c>
      <c r="S60" s="35">
        <v>0</v>
      </c>
      <c r="T60" s="36">
        <v>0</v>
      </c>
      <c r="U60" s="35">
        <v>0</v>
      </c>
      <c r="V60" s="36">
        <v>0</v>
      </c>
      <c r="W60" s="36">
        <v>0</v>
      </c>
      <c r="X60" s="35">
        <v>0</v>
      </c>
      <c r="Y60" s="36">
        <v>0</v>
      </c>
      <c r="Z60" s="35">
        <v>0</v>
      </c>
      <c r="AA60" s="36">
        <v>0</v>
      </c>
      <c r="AB60" s="36">
        <v>0</v>
      </c>
      <c r="AC60" s="35">
        <v>0</v>
      </c>
    </row>
    <row r="61" spans="1:29" x14ac:dyDescent="0.3">
      <c r="A61" s="21" t="s">
        <v>167</v>
      </c>
      <c r="B61" s="29">
        <v>89</v>
      </c>
      <c r="C61" s="34">
        <v>410</v>
      </c>
      <c r="D61" s="29">
        <v>200</v>
      </c>
      <c r="E61" s="34">
        <v>29</v>
      </c>
      <c r="F61" s="34">
        <v>20</v>
      </c>
      <c r="G61" s="29">
        <v>120</v>
      </c>
      <c r="H61" s="34">
        <v>80</v>
      </c>
      <c r="I61" s="35">
        <v>0</v>
      </c>
      <c r="J61" s="36">
        <v>0</v>
      </c>
      <c r="K61" s="36">
        <v>0</v>
      </c>
      <c r="L61" s="29">
        <v>860</v>
      </c>
      <c r="M61" s="34">
        <v>140</v>
      </c>
      <c r="N61" s="29">
        <v>225</v>
      </c>
      <c r="O61" s="29">
        <v>183</v>
      </c>
      <c r="P61" s="29">
        <v>5</v>
      </c>
      <c r="Q61" s="36">
        <v>0</v>
      </c>
      <c r="R61" s="29">
        <v>6</v>
      </c>
      <c r="S61" s="35">
        <v>0</v>
      </c>
      <c r="T61" s="34">
        <v>42</v>
      </c>
      <c r="U61" s="35">
        <v>0</v>
      </c>
      <c r="V61" s="36">
        <v>0</v>
      </c>
      <c r="W61" s="36">
        <v>0</v>
      </c>
      <c r="X61" s="29">
        <v>25</v>
      </c>
      <c r="Y61" s="36">
        <v>0</v>
      </c>
      <c r="Z61" s="35">
        <v>0</v>
      </c>
      <c r="AA61" s="34">
        <v>10</v>
      </c>
      <c r="AB61" s="36">
        <v>0</v>
      </c>
      <c r="AC61" s="29">
        <v>71</v>
      </c>
    </row>
    <row r="62" spans="1:29" x14ac:dyDescent="0.3">
      <c r="A62" s="27" t="s">
        <v>168</v>
      </c>
      <c r="B62" s="35">
        <v>0</v>
      </c>
      <c r="C62" s="36">
        <v>0</v>
      </c>
      <c r="D62" s="35">
        <v>0</v>
      </c>
      <c r="E62" s="36">
        <v>0</v>
      </c>
      <c r="F62" s="36">
        <v>0</v>
      </c>
      <c r="G62" s="35">
        <v>0</v>
      </c>
      <c r="H62" s="36">
        <v>0</v>
      </c>
      <c r="I62" s="35">
        <v>0</v>
      </c>
      <c r="J62" s="36">
        <v>0</v>
      </c>
      <c r="K62" s="36">
        <v>0</v>
      </c>
      <c r="L62" s="35">
        <v>0</v>
      </c>
      <c r="M62" s="36">
        <v>0</v>
      </c>
      <c r="N62" s="35">
        <v>0</v>
      </c>
      <c r="O62" s="35">
        <v>0</v>
      </c>
      <c r="P62" s="35">
        <v>0</v>
      </c>
      <c r="Q62" s="36">
        <v>0</v>
      </c>
      <c r="R62" s="35">
        <v>0</v>
      </c>
      <c r="S62" s="35">
        <v>0</v>
      </c>
      <c r="T62" s="36">
        <v>0</v>
      </c>
      <c r="U62" s="35">
        <v>0</v>
      </c>
      <c r="V62" s="36">
        <v>0</v>
      </c>
      <c r="W62" s="36">
        <v>0</v>
      </c>
      <c r="X62" s="29">
        <v>63</v>
      </c>
      <c r="Y62" s="36">
        <v>0</v>
      </c>
      <c r="Z62" s="35">
        <v>0</v>
      </c>
      <c r="AA62" s="36">
        <v>0</v>
      </c>
      <c r="AB62" s="36">
        <v>0</v>
      </c>
      <c r="AC62" s="35">
        <v>0</v>
      </c>
    </row>
    <row r="63" spans="1:29" x14ac:dyDescent="0.3">
      <c r="A63" s="27" t="s">
        <v>169</v>
      </c>
      <c r="B63" s="29">
        <v>67</v>
      </c>
      <c r="C63" s="36">
        <v>0</v>
      </c>
      <c r="D63" s="35">
        <v>0</v>
      </c>
      <c r="E63" s="36">
        <v>0</v>
      </c>
      <c r="F63" s="34">
        <v>80</v>
      </c>
      <c r="G63" s="35">
        <v>0</v>
      </c>
      <c r="H63" s="36">
        <v>0</v>
      </c>
      <c r="I63" s="35">
        <v>0</v>
      </c>
      <c r="J63" s="34">
        <v>20</v>
      </c>
      <c r="K63" s="36">
        <v>0</v>
      </c>
      <c r="L63" s="35">
        <v>0</v>
      </c>
      <c r="M63" s="36">
        <v>0</v>
      </c>
      <c r="N63" s="35">
        <v>0</v>
      </c>
      <c r="O63" s="35">
        <v>0</v>
      </c>
      <c r="P63" s="35">
        <v>0</v>
      </c>
      <c r="Q63" s="34">
        <v>1</v>
      </c>
      <c r="R63" s="29">
        <v>5</v>
      </c>
      <c r="S63" s="29">
        <v>19</v>
      </c>
      <c r="T63" s="36">
        <v>0</v>
      </c>
      <c r="U63" s="29">
        <v>127</v>
      </c>
      <c r="V63" s="34">
        <v>77</v>
      </c>
      <c r="W63" s="34">
        <v>45</v>
      </c>
      <c r="X63" s="35">
        <v>0</v>
      </c>
      <c r="Y63" s="34">
        <v>24</v>
      </c>
      <c r="Z63" s="29">
        <v>194</v>
      </c>
      <c r="AA63" s="36">
        <v>0</v>
      </c>
      <c r="AB63" s="34">
        <v>25</v>
      </c>
      <c r="AC63" s="29">
        <v>100</v>
      </c>
    </row>
    <row r="64" spans="1:29" x14ac:dyDescent="0.3">
      <c r="A64" s="27" t="s">
        <v>170</v>
      </c>
      <c r="B64" s="35">
        <v>0</v>
      </c>
      <c r="C64" s="36">
        <v>0</v>
      </c>
      <c r="D64" s="35">
        <v>0</v>
      </c>
      <c r="E64" s="36">
        <v>0</v>
      </c>
      <c r="F64" s="36">
        <v>0</v>
      </c>
      <c r="G64" s="35">
        <v>0</v>
      </c>
      <c r="H64" s="36">
        <v>0</v>
      </c>
      <c r="I64" s="35">
        <v>0</v>
      </c>
      <c r="J64" s="36">
        <v>0</v>
      </c>
      <c r="K64" s="36">
        <v>0</v>
      </c>
      <c r="L64" s="35">
        <v>0</v>
      </c>
      <c r="M64" s="36">
        <v>0</v>
      </c>
      <c r="N64" s="35">
        <v>0</v>
      </c>
      <c r="O64" s="35">
        <v>0</v>
      </c>
      <c r="P64" s="35">
        <v>0</v>
      </c>
      <c r="Q64" s="36">
        <v>0</v>
      </c>
      <c r="R64" s="35">
        <v>0</v>
      </c>
      <c r="S64" s="35">
        <v>0</v>
      </c>
      <c r="T64" s="36">
        <v>0</v>
      </c>
      <c r="U64" s="35">
        <v>0</v>
      </c>
      <c r="V64" s="36">
        <v>0</v>
      </c>
      <c r="W64" s="36">
        <v>0</v>
      </c>
      <c r="X64" s="35">
        <v>0</v>
      </c>
      <c r="Y64" s="36">
        <v>0</v>
      </c>
      <c r="Z64" s="35">
        <v>0</v>
      </c>
      <c r="AA64" s="36">
        <v>0</v>
      </c>
      <c r="AB64" s="36">
        <v>0</v>
      </c>
      <c r="AC64" s="35">
        <v>0</v>
      </c>
    </row>
    <row r="65" spans="1:29" x14ac:dyDescent="0.3">
      <c r="A65" s="27" t="s">
        <v>171</v>
      </c>
      <c r="B65" s="35">
        <v>0</v>
      </c>
      <c r="C65" s="36">
        <v>0</v>
      </c>
      <c r="D65" s="35">
        <v>0</v>
      </c>
      <c r="E65" s="36">
        <v>0</v>
      </c>
      <c r="F65" s="34">
        <v>20</v>
      </c>
      <c r="G65" s="35">
        <v>0</v>
      </c>
      <c r="H65" s="36">
        <v>0</v>
      </c>
      <c r="I65" s="35">
        <v>0</v>
      </c>
      <c r="J65" s="36">
        <v>0</v>
      </c>
      <c r="K65" s="36">
        <v>0</v>
      </c>
      <c r="L65" s="35">
        <v>0</v>
      </c>
      <c r="M65" s="36">
        <v>0</v>
      </c>
      <c r="N65" s="29">
        <v>13</v>
      </c>
      <c r="O65" s="35">
        <v>0</v>
      </c>
      <c r="P65" s="29">
        <v>5</v>
      </c>
      <c r="Q65" s="36">
        <v>0</v>
      </c>
      <c r="R65" s="35">
        <v>0</v>
      </c>
      <c r="S65" s="35">
        <v>0</v>
      </c>
      <c r="T65" s="36">
        <v>0</v>
      </c>
      <c r="U65" s="35">
        <v>0</v>
      </c>
      <c r="V65" s="36">
        <v>0</v>
      </c>
      <c r="W65" s="34">
        <v>10</v>
      </c>
      <c r="X65" s="29">
        <v>6</v>
      </c>
      <c r="Y65" s="36">
        <v>0</v>
      </c>
      <c r="Z65" s="35">
        <v>0</v>
      </c>
      <c r="AA65" s="34">
        <v>3</v>
      </c>
      <c r="AB65" s="36">
        <v>0</v>
      </c>
      <c r="AC65" s="35">
        <v>0</v>
      </c>
    </row>
    <row r="66" spans="1:29" x14ac:dyDescent="0.3">
      <c r="A66" s="27" t="s">
        <v>172</v>
      </c>
      <c r="B66" s="29">
        <v>78</v>
      </c>
      <c r="C66" s="36">
        <v>0</v>
      </c>
      <c r="D66" s="35">
        <v>0</v>
      </c>
      <c r="E66" s="36">
        <v>0</v>
      </c>
      <c r="F66" s="34">
        <v>20</v>
      </c>
      <c r="G66" s="35">
        <v>0</v>
      </c>
      <c r="H66" s="36">
        <v>0</v>
      </c>
      <c r="I66" s="35">
        <v>0</v>
      </c>
      <c r="J66" s="36">
        <v>0</v>
      </c>
      <c r="K66" s="36">
        <v>0</v>
      </c>
      <c r="L66" s="35">
        <v>0</v>
      </c>
      <c r="M66" s="36">
        <v>0</v>
      </c>
      <c r="N66" s="35">
        <v>0</v>
      </c>
      <c r="O66" s="35">
        <v>0</v>
      </c>
      <c r="P66" s="35">
        <v>0</v>
      </c>
      <c r="Q66" s="36">
        <v>0</v>
      </c>
      <c r="R66" s="29">
        <v>1</v>
      </c>
      <c r="S66" s="29">
        <v>4</v>
      </c>
      <c r="T66" s="36">
        <v>0</v>
      </c>
      <c r="U66" s="29">
        <v>64</v>
      </c>
      <c r="V66" s="34">
        <v>19</v>
      </c>
      <c r="W66" s="34">
        <v>10</v>
      </c>
      <c r="X66" s="35">
        <v>0</v>
      </c>
      <c r="Y66" s="36">
        <v>0</v>
      </c>
      <c r="Z66" s="29">
        <v>19</v>
      </c>
      <c r="AA66" s="34">
        <v>3</v>
      </c>
      <c r="AB66" s="36">
        <v>0</v>
      </c>
      <c r="AC66" s="35">
        <v>0</v>
      </c>
    </row>
    <row r="67" spans="1:29" x14ac:dyDescent="0.3">
      <c r="A67" s="21" t="s">
        <v>173</v>
      </c>
      <c r="B67" s="35">
        <v>0</v>
      </c>
      <c r="C67" s="36">
        <v>0</v>
      </c>
      <c r="D67" s="35">
        <v>0</v>
      </c>
      <c r="E67" s="36">
        <v>0</v>
      </c>
      <c r="F67" s="36">
        <v>0</v>
      </c>
      <c r="G67" s="35">
        <v>0</v>
      </c>
      <c r="H67" s="36">
        <v>0</v>
      </c>
      <c r="I67" s="35">
        <v>0</v>
      </c>
      <c r="J67" s="36">
        <v>0</v>
      </c>
      <c r="K67" s="36">
        <v>0</v>
      </c>
      <c r="L67" s="35">
        <v>0</v>
      </c>
      <c r="M67" s="36">
        <v>0</v>
      </c>
      <c r="N67" s="35">
        <v>0</v>
      </c>
      <c r="O67" s="35">
        <v>0</v>
      </c>
      <c r="P67" s="35">
        <v>0</v>
      </c>
      <c r="Q67" s="36">
        <v>0</v>
      </c>
      <c r="R67" s="35">
        <v>0</v>
      </c>
      <c r="S67" s="35">
        <v>0</v>
      </c>
      <c r="T67" s="36">
        <v>0</v>
      </c>
      <c r="U67" s="35">
        <v>0</v>
      </c>
      <c r="V67" s="36">
        <v>0</v>
      </c>
      <c r="W67" s="36">
        <v>0</v>
      </c>
      <c r="X67" s="35">
        <v>0</v>
      </c>
      <c r="Y67" s="36">
        <v>0</v>
      </c>
      <c r="Z67" s="35">
        <v>0</v>
      </c>
      <c r="AA67" s="36">
        <v>0</v>
      </c>
      <c r="AB67" s="36">
        <v>0</v>
      </c>
      <c r="AC67" s="29">
        <v>7</v>
      </c>
    </row>
    <row r="68" spans="1:29" x14ac:dyDescent="0.3">
      <c r="A68" s="27" t="s">
        <v>174</v>
      </c>
      <c r="B68" s="29">
        <v>33</v>
      </c>
      <c r="C68" s="34">
        <v>80</v>
      </c>
      <c r="D68" s="29">
        <v>143</v>
      </c>
      <c r="E68" s="34">
        <v>129</v>
      </c>
      <c r="F68" s="34">
        <v>140</v>
      </c>
      <c r="G68" s="29">
        <v>80</v>
      </c>
      <c r="H68" s="34">
        <v>960</v>
      </c>
      <c r="I68" s="29">
        <v>110</v>
      </c>
      <c r="J68" s="34">
        <v>1660</v>
      </c>
      <c r="K68" s="34">
        <v>67</v>
      </c>
      <c r="L68" s="29">
        <v>200</v>
      </c>
      <c r="M68" s="34">
        <v>640</v>
      </c>
      <c r="N68" s="29">
        <v>188</v>
      </c>
      <c r="O68" s="29">
        <v>150</v>
      </c>
      <c r="P68" s="35">
        <v>0</v>
      </c>
      <c r="Q68" s="34">
        <v>3</v>
      </c>
      <c r="R68" s="29">
        <v>12</v>
      </c>
      <c r="S68" s="35">
        <v>0</v>
      </c>
      <c r="T68" s="34">
        <v>232</v>
      </c>
      <c r="U68" s="29">
        <v>73</v>
      </c>
      <c r="V68" s="34">
        <v>8</v>
      </c>
      <c r="W68" s="36">
        <v>0</v>
      </c>
      <c r="X68" s="29">
        <v>6</v>
      </c>
      <c r="Y68" s="34">
        <v>65</v>
      </c>
      <c r="Z68" s="29">
        <v>50</v>
      </c>
      <c r="AA68" s="36">
        <v>0</v>
      </c>
      <c r="AB68" s="34">
        <v>5</v>
      </c>
      <c r="AC68" s="29">
        <v>186</v>
      </c>
    </row>
    <row r="69" spans="1:29" x14ac:dyDescent="0.3">
      <c r="A69" s="21" t="s">
        <v>175</v>
      </c>
      <c r="B69" s="35">
        <v>0</v>
      </c>
      <c r="C69" s="36">
        <v>0</v>
      </c>
      <c r="D69" s="35">
        <v>0</v>
      </c>
      <c r="E69" s="36">
        <v>0</v>
      </c>
      <c r="F69" s="34">
        <v>20</v>
      </c>
      <c r="G69" s="35">
        <v>0</v>
      </c>
      <c r="H69" s="36">
        <v>0</v>
      </c>
      <c r="I69" s="35">
        <v>0</v>
      </c>
      <c r="J69" s="36">
        <v>0</v>
      </c>
      <c r="K69" s="36">
        <v>0</v>
      </c>
      <c r="L69" s="35">
        <v>0</v>
      </c>
      <c r="M69" s="34">
        <v>20</v>
      </c>
      <c r="N69" s="29">
        <v>25</v>
      </c>
      <c r="O69" s="29">
        <v>17</v>
      </c>
      <c r="P69" s="35">
        <v>0</v>
      </c>
      <c r="Q69" s="36">
        <v>0</v>
      </c>
      <c r="R69" s="35">
        <v>0</v>
      </c>
      <c r="S69" s="35">
        <v>0</v>
      </c>
      <c r="T69" s="36">
        <v>0</v>
      </c>
      <c r="U69" s="35">
        <v>0</v>
      </c>
      <c r="V69" s="36">
        <v>0</v>
      </c>
      <c r="W69" s="36">
        <v>0</v>
      </c>
      <c r="X69" s="35">
        <v>0</v>
      </c>
      <c r="Y69" s="36">
        <v>0</v>
      </c>
      <c r="Z69" s="35">
        <v>0</v>
      </c>
      <c r="AA69" s="36">
        <v>0</v>
      </c>
      <c r="AB69" s="36">
        <v>0</v>
      </c>
      <c r="AC69" s="35">
        <v>0</v>
      </c>
    </row>
    <row r="70" spans="1:29" x14ac:dyDescent="0.3">
      <c r="A70" s="27" t="s">
        <v>176</v>
      </c>
      <c r="B70" s="35">
        <v>0</v>
      </c>
      <c r="C70" s="36">
        <v>0</v>
      </c>
      <c r="D70" s="35">
        <v>0</v>
      </c>
      <c r="E70" s="36">
        <v>0</v>
      </c>
      <c r="F70" s="36">
        <v>0</v>
      </c>
      <c r="G70" s="35">
        <v>0</v>
      </c>
      <c r="H70" s="36">
        <v>0</v>
      </c>
      <c r="I70" s="35">
        <v>0</v>
      </c>
      <c r="J70" s="36">
        <v>0</v>
      </c>
      <c r="K70" s="36">
        <v>0</v>
      </c>
      <c r="L70" s="35">
        <v>0</v>
      </c>
      <c r="M70" s="36">
        <v>0</v>
      </c>
      <c r="N70" s="35">
        <v>0</v>
      </c>
      <c r="O70" s="35">
        <v>0</v>
      </c>
      <c r="P70" s="35">
        <v>0</v>
      </c>
      <c r="Q70" s="36">
        <v>0</v>
      </c>
      <c r="R70" s="35">
        <v>0</v>
      </c>
      <c r="S70" s="35">
        <v>0</v>
      </c>
      <c r="T70" s="36">
        <v>0</v>
      </c>
      <c r="U70" s="35">
        <v>0</v>
      </c>
      <c r="V70" s="36">
        <v>0</v>
      </c>
      <c r="W70" s="36">
        <v>0</v>
      </c>
      <c r="X70" s="35">
        <v>0</v>
      </c>
      <c r="Y70" s="36">
        <v>0</v>
      </c>
      <c r="Z70" s="35">
        <v>0</v>
      </c>
      <c r="AA70" s="36">
        <v>0</v>
      </c>
      <c r="AB70" s="36">
        <v>0</v>
      </c>
      <c r="AC70" s="35">
        <v>0</v>
      </c>
    </row>
    <row r="71" spans="1:29" x14ac:dyDescent="0.3">
      <c r="A71" s="27" t="s">
        <v>177</v>
      </c>
      <c r="B71" s="35">
        <v>0</v>
      </c>
      <c r="C71" s="36">
        <v>0</v>
      </c>
      <c r="D71" s="35">
        <v>0</v>
      </c>
      <c r="E71" s="36">
        <v>0</v>
      </c>
      <c r="F71" s="36">
        <v>0</v>
      </c>
      <c r="G71" s="35">
        <v>0</v>
      </c>
      <c r="H71" s="36">
        <v>0</v>
      </c>
      <c r="I71" s="35">
        <v>0</v>
      </c>
      <c r="J71" s="36">
        <v>0</v>
      </c>
      <c r="K71" s="36">
        <v>0</v>
      </c>
      <c r="L71" s="35">
        <v>0</v>
      </c>
      <c r="M71" s="36">
        <v>0</v>
      </c>
      <c r="N71" s="35">
        <v>0</v>
      </c>
      <c r="O71" s="35">
        <v>0</v>
      </c>
      <c r="P71" s="35">
        <v>0</v>
      </c>
      <c r="Q71" s="36">
        <v>0</v>
      </c>
      <c r="R71" s="35">
        <v>0</v>
      </c>
      <c r="S71" s="35">
        <v>0</v>
      </c>
      <c r="T71" s="36">
        <v>0</v>
      </c>
      <c r="U71" s="35">
        <v>0</v>
      </c>
      <c r="V71" s="36">
        <v>0</v>
      </c>
      <c r="W71" s="36">
        <v>0</v>
      </c>
      <c r="X71" s="35">
        <v>0</v>
      </c>
      <c r="Y71" s="36">
        <v>0</v>
      </c>
      <c r="Z71" s="35">
        <v>0</v>
      </c>
      <c r="AA71" s="36">
        <v>0</v>
      </c>
      <c r="AB71" s="36">
        <v>0</v>
      </c>
      <c r="AC71" s="35">
        <v>0</v>
      </c>
    </row>
    <row r="72" spans="1:29" x14ac:dyDescent="0.3">
      <c r="A72" s="21" t="s">
        <v>178</v>
      </c>
      <c r="B72" s="35">
        <v>0</v>
      </c>
      <c r="C72" s="36">
        <v>0</v>
      </c>
      <c r="D72" s="35">
        <v>0</v>
      </c>
      <c r="E72" s="36">
        <v>0</v>
      </c>
      <c r="F72" s="36">
        <v>0</v>
      </c>
      <c r="G72" s="35">
        <v>0</v>
      </c>
      <c r="H72" s="36">
        <v>0</v>
      </c>
      <c r="I72" s="35">
        <v>0</v>
      </c>
      <c r="J72" s="36">
        <v>0</v>
      </c>
      <c r="K72" s="36">
        <v>0</v>
      </c>
      <c r="L72" s="35">
        <v>0</v>
      </c>
      <c r="M72" s="36">
        <v>0</v>
      </c>
      <c r="N72" s="35">
        <v>0</v>
      </c>
      <c r="O72" s="35">
        <v>0</v>
      </c>
      <c r="P72" s="35">
        <v>0</v>
      </c>
      <c r="Q72" s="36">
        <v>0</v>
      </c>
      <c r="R72" s="35">
        <v>0</v>
      </c>
      <c r="S72" s="35">
        <v>0</v>
      </c>
      <c r="T72" s="36">
        <v>0</v>
      </c>
      <c r="U72" s="35">
        <v>0</v>
      </c>
      <c r="V72" s="36">
        <v>0</v>
      </c>
      <c r="W72" s="36">
        <v>0</v>
      </c>
      <c r="X72" s="35">
        <v>0</v>
      </c>
      <c r="Y72" s="36">
        <v>0</v>
      </c>
      <c r="Z72" s="35">
        <v>0</v>
      </c>
      <c r="AA72" s="36">
        <v>0</v>
      </c>
      <c r="AB72" s="36">
        <v>0</v>
      </c>
      <c r="AC72" s="35">
        <v>0</v>
      </c>
    </row>
    <row r="73" spans="1:29" x14ac:dyDescent="0.3">
      <c r="A73" s="27" t="s">
        <v>179</v>
      </c>
      <c r="B73" s="35">
        <v>0</v>
      </c>
      <c r="C73" s="36">
        <v>0</v>
      </c>
      <c r="D73" s="35">
        <v>0</v>
      </c>
      <c r="E73" s="36">
        <v>0</v>
      </c>
      <c r="F73" s="36">
        <v>0</v>
      </c>
      <c r="G73" s="35">
        <v>0</v>
      </c>
      <c r="H73" s="36">
        <v>0</v>
      </c>
      <c r="I73" s="35">
        <v>0</v>
      </c>
      <c r="J73" s="36">
        <v>0</v>
      </c>
      <c r="K73" s="36">
        <v>0</v>
      </c>
      <c r="L73" s="35">
        <v>0</v>
      </c>
      <c r="M73" s="36">
        <v>0</v>
      </c>
      <c r="N73" s="35">
        <v>0</v>
      </c>
      <c r="O73" s="35">
        <v>0</v>
      </c>
      <c r="P73" s="35">
        <v>0</v>
      </c>
      <c r="Q73" s="36">
        <v>0</v>
      </c>
      <c r="R73" s="35">
        <v>0</v>
      </c>
      <c r="S73" s="35">
        <v>0</v>
      </c>
      <c r="T73" s="36">
        <v>0</v>
      </c>
      <c r="U73" s="35">
        <v>0</v>
      </c>
      <c r="V73" s="36">
        <v>0</v>
      </c>
      <c r="W73" s="36">
        <v>0</v>
      </c>
      <c r="X73" s="35">
        <v>0</v>
      </c>
      <c r="Y73" s="36">
        <v>0</v>
      </c>
      <c r="Z73" s="35">
        <v>0</v>
      </c>
      <c r="AA73" s="36">
        <v>0</v>
      </c>
      <c r="AB73" s="36">
        <v>0</v>
      </c>
      <c r="AC73" s="35">
        <v>0</v>
      </c>
    </row>
    <row r="74" spans="1:29" x14ac:dyDescent="0.3">
      <c r="A74" s="21" t="s">
        <v>119</v>
      </c>
      <c r="B74" s="35">
        <v>0</v>
      </c>
      <c r="C74" s="36">
        <v>0</v>
      </c>
      <c r="D74" s="35">
        <v>0</v>
      </c>
      <c r="E74" s="36">
        <v>0</v>
      </c>
      <c r="F74" s="36">
        <v>0</v>
      </c>
      <c r="G74" s="35">
        <v>0</v>
      </c>
      <c r="H74" s="36">
        <v>0</v>
      </c>
      <c r="I74" s="35">
        <v>0</v>
      </c>
      <c r="J74" s="36">
        <v>0</v>
      </c>
      <c r="K74" s="36">
        <v>0</v>
      </c>
      <c r="L74" s="35">
        <v>0</v>
      </c>
      <c r="M74" s="36">
        <v>0</v>
      </c>
      <c r="N74" s="35">
        <v>0</v>
      </c>
      <c r="O74" s="35">
        <v>0</v>
      </c>
      <c r="P74" s="35">
        <v>0</v>
      </c>
      <c r="Q74" s="36">
        <v>0</v>
      </c>
      <c r="R74" s="35">
        <v>0</v>
      </c>
      <c r="S74" s="35">
        <v>0</v>
      </c>
      <c r="T74" s="36">
        <v>0</v>
      </c>
      <c r="U74" s="35">
        <v>0</v>
      </c>
      <c r="V74" s="36">
        <v>0</v>
      </c>
      <c r="W74" s="36">
        <v>0</v>
      </c>
      <c r="X74" s="35">
        <v>0</v>
      </c>
      <c r="Y74" s="36">
        <v>0</v>
      </c>
      <c r="Z74" s="35">
        <v>0</v>
      </c>
      <c r="AA74" s="36">
        <v>0</v>
      </c>
      <c r="AB74" s="36">
        <v>0</v>
      </c>
      <c r="AC74" s="35">
        <v>0</v>
      </c>
    </row>
    <row r="75" spans="1:29" x14ac:dyDescent="0.3">
      <c r="A75" s="21" t="s">
        <v>180</v>
      </c>
      <c r="B75" s="35">
        <v>0</v>
      </c>
      <c r="C75" s="36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  <c r="J75" s="36">
        <v>0</v>
      </c>
      <c r="K75" s="36">
        <v>0</v>
      </c>
      <c r="L75" s="35">
        <v>0</v>
      </c>
      <c r="M75" s="36">
        <v>0</v>
      </c>
      <c r="N75" s="35">
        <v>0</v>
      </c>
      <c r="O75" s="35">
        <v>0</v>
      </c>
      <c r="P75" s="35">
        <v>0</v>
      </c>
      <c r="Q75" s="36">
        <v>0</v>
      </c>
      <c r="R75" s="29">
        <v>1</v>
      </c>
      <c r="S75" s="35">
        <v>0</v>
      </c>
      <c r="T75" s="36">
        <v>0</v>
      </c>
      <c r="U75" s="35">
        <v>0</v>
      </c>
      <c r="V75" s="36">
        <v>0</v>
      </c>
      <c r="W75" s="36">
        <v>0</v>
      </c>
      <c r="X75" s="35">
        <v>0</v>
      </c>
      <c r="Y75" s="36">
        <v>0</v>
      </c>
      <c r="Z75" s="35">
        <v>0</v>
      </c>
      <c r="AA75" s="36">
        <v>0</v>
      </c>
      <c r="AB75" s="36">
        <v>0</v>
      </c>
      <c r="AC75" s="35">
        <v>0</v>
      </c>
    </row>
    <row r="76" spans="1:29" x14ac:dyDescent="0.3">
      <c r="A76" s="21" t="s">
        <v>181</v>
      </c>
      <c r="B76" s="35">
        <v>0</v>
      </c>
      <c r="C76" s="36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35">
        <v>0</v>
      </c>
      <c r="J76" s="36">
        <v>0</v>
      </c>
      <c r="K76" s="36">
        <v>0</v>
      </c>
      <c r="L76" s="35">
        <v>0</v>
      </c>
      <c r="M76" s="36">
        <v>0</v>
      </c>
      <c r="N76" s="35">
        <v>0</v>
      </c>
      <c r="O76" s="35">
        <v>0</v>
      </c>
      <c r="P76" s="35">
        <v>0</v>
      </c>
      <c r="Q76" s="36">
        <v>0</v>
      </c>
      <c r="R76" s="35">
        <v>0</v>
      </c>
      <c r="S76" s="35">
        <v>0</v>
      </c>
      <c r="T76" s="36">
        <v>0</v>
      </c>
      <c r="U76" s="35">
        <v>0</v>
      </c>
      <c r="V76" s="34">
        <v>4</v>
      </c>
      <c r="W76" s="36">
        <v>0</v>
      </c>
      <c r="X76" s="35">
        <v>0</v>
      </c>
      <c r="Y76" s="36">
        <v>0</v>
      </c>
      <c r="Z76" s="35">
        <v>0</v>
      </c>
      <c r="AA76" s="34">
        <v>7</v>
      </c>
      <c r="AB76" s="34">
        <v>5</v>
      </c>
      <c r="AC76" s="35">
        <v>0</v>
      </c>
    </row>
    <row r="77" spans="1:29" x14ac:dyDescent="0.3">
      <c r="A77" s="21" t="s">
        <v>182</v>
      </c>
      <c r="B77" s="35">
        <v>0</v>
      </c>
      <c r="C77" s="36">
        <v>0</v>
      </c>
      <c r="D77" s="35">
        <v>0</v>
      </c>
      <c r="E77" s="36">
        <v>0</v>
      </c>
      <c r="F77" s="36">
        <v>0</v>
      </c>
      <c r="G77" s="35">
        <v>0</v>
      </c>
      <c r="H77" s="36">
        <v>0</v>
      </c>
      <c r="I77" s="35">
        <v>0</v>
      </c>
      <c r="J77" s="36">
        <v>0</v>
      </c>
      <c r="K77" s="36">
        <v>0</v>
      </c>
      <c r="L77" s="35">
        <v>0</v>
      </c>
      <c r="M77" s="36">
        <v>0</v>
      </c>
      <c r="N77" s="35">
        <v>0</v>
      </c>
      <c r="O77" s="29">
        <v>17</v>
      </c>
      <c r="P77" s="35">
        <v>0</v>
      </c>
      <c r="Q77" s="36">
        <v>0</v>
      </c>
      <c r="R77" s="29">
        <v>1</v>
      </c>
      <c r="S77" s="29">
        <v>37</v>
      </c>
      <c r="T77" s="36">
        <v>0</v>
      </c>
      <c r="U77" s="29">
        <v>27</v>
      </c>
      <c r="V77" s="36">
        <v>0</v>
      </c>
      <c r="W77" s="34">
        <v>20</v>
      </c>
      <c r="X77" s="35">
        <v>0</v>
      </c>
      <c r="Y77" s="36">
        <v>0</v>
      </c>
      <c r="Z77" s="29">
        <v>6</v>
      </c>
      <c r="AA77" s="36">
        <v>0</v>
      </c>
      <c r="AB77" s="36">
        <v>0</v>
      </c>
      <c r="AC77" s="35">
        <v>0</v>
      </c>
    </row>
    <row r="78" spans="1:29" x14ac:dyDescent="0.3">
      <c r="A78" s="27" t="s">
        <v>183</v>
      </c>
      <c r="B78" s="29">
        <v>144</v>
      </c>
      <c r="C78" s="36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35">
        <v>0</v>
      </c>
      <c r="J78" s="36">
        <v>0</v>
      </c>
      <c r="K78" s="36">
        <v>0</v>
      </c>
      <c r="L78" s="29">
        <v>60</v>
      </c>
      <c r="M78" s="36">
        <v>0</v>
      </c>
      <c r="N78" s="35">
        <v>0</v>
      </c>
      <c r="O78" s="35">
        <v>0</v>
      </c>
      <c r="P78" s="35">
        <v>0</v>
      </c>
      <c r="Q78" s="36">
        <v>0</v>
      </c>
      <c r="R78" s="35">
        <v>0</v>
      </c>
      <c r="S78" s="35">
        <v>0</v>
      </c>
      <c r="T78" s="36">
        <v>0</v>
      </c>
      <c r="U78" s="35">
        <v>0</v>
      </c>
      <c r="V78" s="36">
        <v>0</v>
      </c>
      <c r="W78" s="36">
        <v>0</v>
      </c>
      <c r="X78" s="35">
        <v>0</v>
      </c>
      <c r="Y78" s="36">
        <v>0</v>
      </c>
      <c r="Z78" s="35">
        <v>0</v>
      </c>
      <c r="AA78" s="36">
        <v>0</v>
      </c>
      <c r="AB78" s="36">
        <v>0</v>
      </c>
      <c r="AC78" s="35">
        <v>0</v>
      </c>
    </row>
    <row r="79" spans="1:29" x14ac:dyDescent="0.3">
      <c r="A79" s="21" t="s">
        <v>184</v>
      </c>
      <c r="B79" s="35">
        <v>0</v>
      </c>
      <c r="C79" s="36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35">
        <v>0</v>
      </c>
      <c r="J79" s="36">
        <v>0</v>
      </c>
      <c r="K79" s="36">
        <v>0</v>
      </c>
      <c r="L79" s="35">
        <v>0</v>
      </c>
      <c r="M79" s="36">
        <v>0</v>
      </c>
      <c r="N79" s="35">
        <v>0</v>
      </c>
      <c r="O79" s="35">
        <v>0</v>
      </c>
      <c r="P79" s="35">
        <v>0</v>
      </c>
      <c r="Q79" s="36">
        <v>0</v>
      </c>
      <c r="R79" s="35">
        <v>0</v>
      </c>
      <c r="S79" s="35">
        <v>0</v>
      </c>
      <c r="T79" s="36">
        <v>0</v>
      </c>
      <c r="U79" s="35">
        <v>0</v>
      </c>
      <c r="V79" s="36">
        <v>0</v>
      </c>
      <c r="W79" s="36">
        <v>0</v>
      </c>
      <c r="X79" s="35">
        <v>0</v>
      </c>
      <c r="Y79" s="36">
        <v>0</v>
      </c>
      <c r="Z79" s="29">
        <v>6</v>
      </c>
      <c r="AA79" s="36">
        <v>0</v>
      </c>
      <c r="AB79" s="36">
        <v>0</v>
      </c>
      <c r="AC79" s="35">
        <v>0</v>
      </c>
    </row>
    <row r="80" spans="1:29" x14ac:dyDescent="0.3">
      <c r="A80" s="21" t="s">
        <v>185</v>
      </c>
      <c r="B80" s="35">
        <v>0</v>
      </c>
      <c r="C80" s="36">
        <v>0</v>
      </c>
      <c r="D80" s="35">
        <v>0</v>
      </c>
      <c r="E80" s="36">
        <v>0</v>
      </c>
      <c r="F80" s="36">
        <v>0</v>
      </c>
      <c r="G80" s="35">
        <v>0</v>
      </c>
      <c r="H80" s="36">
        <v>0</v>
      </c>
      <c r="I80" s="35">
        <v>0</v>
      </c>
      <c r="J80" s="36">
        <v>0</v>
      </c>
      <c r="K80" s="36">
        <v>0</v>
      </c>
      <c r="L80" s="35">
        <v>0</v>
      </c>
      <c r="M80" s="36">
        <v>0</v>
      </c>
      <c r="N80" s="35">
        <v>0</v>
      </c>
      <c r="O80" s="35">
        <v>0</v>
      </c>
      <c r="P80" s="35">
        <v>0</v>
      </c>
      <c r="Q80" s="36">
        <v>0</v>
      </c>
      <c r="R80" s="35">
        <v>0</v>
      </c>
      <c r="S80" s="35">
        <v>0</v>
      </c>
      <c r="T80" s="36">
        <v>0</v>
      </c>
      <c r="U80" s="35">
        <v>0</v>
      </c>
      <c r="V80" s="36">
        <v>0</v>
      </c>
      <c r="W80" s="34">
        <v>5</v>
      </c>
      <c r="X80" s="35">
        <v>0</v>
      </c>
      <c r="Y80" s="36">
        <v>0</v>
      </c>
      <c r="Z80" s="35">
        <v>0</v>
      </c>
      <c r="AA80" s="36">
        <v>0</v>
      </c>
      <c r="AB80" s="36">
        <v>0</v>
      </c>
      <c r="AC80" s="35">
        <v>0</v>
      </c>
    </row>
    <row r="81" spans="1:29" x14ac:dyDescent="0.3">
      <c r="A81" s="27" t="s">
        <v>186</v>
      </c>
      <c r="B81" s="35">
        <v>0</v>
      </c>
      <c r="C81" s="36">
        <v>0</v>
      </c>
      <c r="D81" s="35">
        <v>0</v>
      </c>
      <c r="E81" s="36">
        <v>0</v>
      </c>
      <c r="F81" s="36">
        <v>0</v>
      </c>
      <c r="G81" s="35">
        <v>0</v>
      </c>
      <c r="H81" s="36">
        <v>0</v>
      </c>
      <c r="I81" s="35">
        <v>0</v>
      </c>
      <c r="J81" s="36">
        <v>0</v>
      </c>
      <c r="K81" s="36">
        <v>0</v>
      </c>
      <c r="L81" s="35">
        <v>0</v>
      </c>
      <c r="M81" s="36">
        <v>0</v>
      </c>
      <c r="N81" s="35">
        <v>0</v>
      </c>
      <c r="O81" s="35">
        <v>0</v>
      </c>
      <c r="P81" s="35">
        <v>0</v>
      </c>
      <c r="Q81" s="36">
        <v>0</v>
      </c>
      <c r="R81" s="35">
        <v>0</v>
      </c>
      <c r="S81" s="35">
        <v>0</v>
      </c>
      <c r="T81" s="36">
        <v>0</v>
      </c>
      <c r="U81" s="35">
        <v>0</v>
      </c>
      <c r="V81" s="36">
        <v>0</v>
      </c>
      <c r="W81" s="36">
        <v>0</v>
      </c>
      <c r="X81" s="35">
        <v>0</v>
      </c>
      <c r="Y81" s="36">
        <v>0</v>
      </c>
      <c r="Z81" s="35">
        <v>0</v>
      </c>
      <c r="AA81" s="36">
        <v>0</v>
      </c>
      <c r="AB81" s="36">
        <v>0</v>
      </c>
      <c r="AC81" s="35">
        <v>0</v>
      </c>
    </row>
    <row r="82" spans="1:29" x14ac:dyDescent="0.3">
      <c r="A82" s="27" t="s">
        <v>187</v>
      </c>
      <c r="B82" s="35">
        <v>0</v>
      </c>
      <c r="C82" s="36">
        <v>0</v>
      </c>
      <c r="D82" s="35">
        <v>0</v>
      </c>
      <c r="E82" s="36">
        <v>0</v>
      </c>
      <c r="F82" s="36">
        <v>0</v>
      </c>
      <c r="G82" s="35">
        <v>0</v>
      </c>
      <c r="H82" s="36">
        <v>0</v>
      </c>
      <c r="I82" s="35">
        <v>0</v>
      </c>
      <c r="J82" s="36">
        <v>0</v>
      </c>
      <c r="K82" s="36">
        <v>0</v>
      </c>
      <c r="L82" s="35">
        <v>0</v>
      </c>
      <c r="M82" s="36">
        <v>0</v>
      </c>
      <c r="N82" s="35">
        <v>0</v>
      </c>
      <c r="O82" s="35">
        <v>0</v>
      </c>
      <c r="P82" s="35">
        <v>0</v>
      </c>
      <c r="Q82" s="36">
        <v>0</v>
      </c>
      <c r="R82" s="35">
        <v>0</v>
      </c>
      <c r="S82" s="35">
        <v>0</v>
      </c>
      <c r="T82" s="36">
        <v>0</v>
      </c>
      <c r="U82" s="35">
        <v>0</v>
      </c>
      <c r="V82" s="36">
        <v>0</v>
      </c>
      <c r="W82" s="36">
        <v>0</v>
      </c>
      <c r="X82" s="35">
        <v>0</v>
      </c>
      <c r="Y82" s="36">
        <v>0</v>
      </c>
      <c r="Z82" s="35">
        <v>0</v>
      </c>
      <c r="AA82" s="36">
        <v>0</v>
      </c>
      <c r="AB82" s="36">
        <v>0</v>
      </c>
      <c r="AC82" s="35">
        <v>0</v>
      </c>
    </row>
    <row r="83" spans="1:29" x14ac:dyDescent="0.3">
      <c r="A83" s="27" t="s">
        <v>188</v>
      </c>
      <c r="B83" s="35">
        <v>0</v>
      </c>
      <c r="C83" s="36">
        <v>0</v>
      </c>
      <c r="D83" s="35">
        <v>0</v>
      </c>
      <c r="E83" s="36">
        <v>0</v>
      </c>
      <c r="F83" s="36">
        <v>0</v>
      </c>
      <c r="G83" s="35">
        <v>0</v>
      </c>
      <c r="H83" s="36">
        <v>0</v>
      </c>
      <c r="I83" s="35">
        <v>0</v>
      </c>
      <c r="J83" s="36">
        <v>0</v>
      </c>
      <c r="K83" s="36">
        <v>0</v>
      </c>
      <c r="L83" s="35">
        <v>0</v>
      </c>
      <c r="M83" s="36">
        <v>0</v>
      </c>
      <c r="N83" s="35">
        <v>0</v>
      </c>
      <c r="O83" s="35">
        <v>0</v>
      </c>
      <c r="P83" s="35">
        <v>0</v>
      </c>
      <c r="Q83" s="36">
        <v>0</v>
      </c>
      <c r="R83" s="35">
        <v>0</v>
      </c>
      <c r="S83" s="35">
        <v>0</v>
      </c>
      <c r="T83" s="34">
        <v>11</v>
      </c>
      <c r="U83" s="29">
        <v>9</v>
      </c>
      <c r="V83" s="36">
        <v>0</v>
      </c>
      <c r="W83" s="36">
        <v>0</v>
      </c>
      <c r="X83" s="35">
        <v>0</v>
      </c>
      <c r="Y83" s="34">
        <v>29</v>
      </c>
      <c r="Z83" s="29">
        <v>63</v>
      </c>
      <c r="AA83" s="34">
        <v>28</v>
      </c>
      <c r="AB83" s="36">
        <v>0</v>
      </c>
      <c r="AC83" s="29">
        <v>21</v>
      </c>
    </row>
    <row r="84" spans="1:29" x14ac:dyDescent="0.3">
      <c r="A84" s="27" t="s">
        <v>189</v>
      </c>
      <c r="B84" s="35">
        <v>0</v>
      </c>
      <c r="C84" s="36">
        <v>0</v>
      </c>
      <c r="D84" s="35">
        <v>0</v>
      </c>
      <c r="E84" s="36">
        <v>0</v>
      </c>
      <c r="F84" s="36">
        <v>0</v>
      </c>
      <c r="G84" s="35">
        <v>0</v>
      </c>
      <c r="H84" s="36">
        <v>0</v>
      </c>
      <c r="I84" s="35">
        <v>0</v>
      </c>
      <c r="J84" s="36">
        <v>0</v>
      </c>
      <c r="K84" s="36">
        <v>0</v>
      </c>
      <c r="L84" s="35">
        <v>0</v>
      </c>
      <c r="M84" s="36">
        <v>0</v>
      </c>
      <c r="N84" s="35">
        <v>0</v>
      </c>
      <c r="O84" s="35">
        <v>0</v>
      </c>
      <c r="P84" s="35">
        <v>0</v>
      </c>
      <c r="Q84" s="36">
        <v>0</v>
      </c>
      <c r="R84" s="35">
        <v>0</v>
      </c>
      <c r="S84" s="35">
        <v>0</v>
      </c>
      <c r="T84" s="36">
        <v>0</v>
      </c>
      <c r="U84" s="35">
        <v>0</v>
      </c>
      <c r="V84" s="36">
        <v>0</v>
      </c>
      <c r="W84" s="36">
        <v>0</v>
      </c>
      <c r="X84" s="35">
        <v>0</v>
      </c>
      <c r="Y84" s="36">
        <v>0</v>
      </c>
      <c r="Z84" s="35">
        <v>0</v>
      </c>
      <c r="AA84" s="36">
        <v>0</v>
      </c>
      <c r="AB84" s="36">
        <v>0</v>
      </c>
      <c r="AC84" s="35">
        <v>0</v>
      </c>
    </row>
    <row r="85" spans="1:29" x14ac:dyDescent="0.3">
      <c r="A85" s="21" t="s">
        <v>190</v>
      </c>
      <c r="B85" s="35">
        <v>0</v>
      </c>
      <c r="C85" s="36">
        <v>0</v>
      </c>
      <c r="D85" s="35">
        <v>0</v>
      </c>
      <c r="E85" s="36">
        <v>0</v>
      </c>
      <c r="F85" s="36">
        <v>0</v>
      </c>
      <c r="G85" s="35">
        <v>0</v>
      </c>
      <c r="H85" s="36">
        <v>0</v>
      </c>
      <c r="I85" s="35">
        <v>0</v>
      </c>
      <c r="J85" s="36">
        <v>0</v>
      </c>
      <c r="K85" s="36">
        <v>0</v>
      </c>
      <c r="L85" s="35">
        <v>0</v>
      </c>
      <c r="M85" s="36">
        <v>0</v>
      </c>
      <c r="N85" s="35">
        <v>0</v>
      </c>
      <c r="O85" s="35">
        <v>0</v>
      </c>
      <c r="P85" s="35">
        <v>0</v>
      </c>
      <c r="Q85" s="36">
        <v>0</v>
      </c>
      <c r="R85" s="35">
        <v>0</v>
      </c>
      <c r="S85" s="35">
        <v>0</v>
      </c>
      <c r="T85" s="34">
        <v>5</v>
      </c>
      <c r="U85" s="29">
        <v>18</v>
      </c>
      <c r="V85" s="36">
        <v>0</v>
      </c>
      <c r="W85" s="36">
        <v>0</v>
      </c>
      <c r="X85" s="35">
        <v>0</v>
      </c>
      <c r="Y85" s="36">
        <v>0</v>
      </c>
      <c r="Z85" s="35">
        <v>0</v>
      </c>
      <c r="AA85" s="34">
        <v>3</v>
      </c>
      <c r="AB85" s="36">
        <v>0</v>
      </c>
      <c r="AC85" s="35">
        <v>0</v>
      </c>
    </row>
    <row r="86" spans="1:29" x14ac:dyDescent="0.3">
      <c r="A86" s="27" t="s">
        <v>191</v>
      </c>
      <c r="B86" s="35">
        <v>0</v>
      </c>
      <c r="C86" s="36">
        <v>0</v>
      </c>
      <c r="D86" s="35">
        <v>0</v>
      </c>
      <c r="E86" s="36">
        <v>0</v>
      </c>
      <c r="F86" s="36">
        <v>0</v>
      </c>
      <c r="G86" s="35">
        <v>0</v>
      </c>
      <c r="H86" s="36">
        <v>0</v>
      </c>
      <c r="I86" s="35">
        <v>0</v>
      </c>
      <c r="J86" s="36">
        <v>0</v>
      </c>
      <c r="K86" s="36">
        <v>0</v>
      </c>
      <c r="L86" s="35">
        <v>0</v>
      </c>
      <c r="M86" s="36">
        <v>0</v>
      </c>
      <c r="N86" s="35">
        <v>0</v>
      </c>
      <c r="O86" s="35">
        <v>0</v>
      </c>
      <c r="P86" s="35">
        <v>0</v>
      </c>
      <c r="Q86" s="36">
        <v>0</v>
      </c>
      <c r="R86" s="35">
        <v>0</v>
      </c>
      <c r="S86" s="35">
        <v>0</v>
      </c>
      <c r="T86" s="36">
        <v>0</v>
      </c>
      <c r="U86" s="35">
        <v>0</v>
      </c>
      <c r="V86" s="36">
        <v>0</v>
      </c>
      <c r="W86" s="36">
        <v>0</v>
      </c>
      <c r="X86" s="35">
        <v>0</v>
      </c>
      <c r="Y86" s="36">
        <v>0</v>
      </c>
      <c r="Z86" s="35">
        <v>0</v>
      </c>
      <c r="AA86" s="36">
        <v>0</v>
      </c>
      <c r="AB86" s="36">
        <v>0</v>
      </c>
      <c r="AC86" s="35">
        <v>0</v>
      </c>
    </row>
    <row r="87" spans="1:29" x14ac:dyDescent="0.3">
      <c r="A87" s="27" t="s">
        <v>192</v>
      </c>
      <c r="B87" s="35">
        <v>0</v>
      </c>
      <c r="C87" s="36">
        <v>0</v>
      </c>
      <c r="D87" s="35">
        <v>0</v>
      </c>
      <c r="E87" s="36">
        <v>0</v>
      </c>
      <c r="F87" s="36">
        <v>0</v>
      </c>
      <c r="G87" s="35">
        <v>0</v>
      </c>
      <c r="H87" s="36">
        <v>0</v>
      </c>
      <c r="I87" s="35">
        <v>0</v>
      </c>
      <c r="J87" s="36">
        <v>0</v>
      </c>
      <c r="K87" s="36">
        <v>0</v>
      </c>
      <c r="L87" s="29">
        <v>20</v>
      </c>
      <c r="M87" s="36">
        <v>0</v>
      </c>
      <c r="N87" s="35">
        <v>0</v>
      </c>
      <c r="O87" s="35">
        <v>0</v>
      </c>
      <c r="P87" s="35">
        <v>0</v>
      </c>
      <c r="Q87" s="36">
        <v>0</v>
      </c>
      <c r="R87" s="35">
        <v>0</v>
      </c>
      <c r="S87" s="35">
        <v>0</v>
      </c>
      <c r="T87" s="36">
        <v>0</v>
      </c>
      <c r="U87" s="29">
        <v>9</v>
      </c>
      <c r="V87" s="34">
        <v>4</v>
      </c>
      <c r="W87" s="36">
        <v>0</v>
      </c>
      <c r="X87" s="35">
        <v>0</v>
      </c>
      <c r="Y87" s="36">
        <v>0</v>
      </c>
      <c r="Z87" s="35">
        <v>0</v>
      </c>
      <c r="AA87" s="36">
        <v>0</v>
      </c>
      <c r="AB87" s="36">
        <v>0</v>
      </c>
      <c r="AC87" s="35">
        <v>0</v>
      </c>
    </row>
    <row r="88" spans="1:29" x14ac:dyDescent="0.3">
      <c r="A88" s="27" t="s">
        <v>193</v>
      </c>
      <c r="B88" s="35">
        <v>0</v>
      </c>
      <c r="C88" s="36">
        <v>0</v>
      </c>
      <c r="D88" s="35">
        <v>0</v>
      </c>
      <c r="E88" s="36">
        <v>0</v>
      </c>
      <c r="F88" s="36">
        <v>0</v>
      </c>
      <c r="G88" s="35">
        <v>0</v>
      </c>
      <c r="H88" s="36">
        <v>0</v>
      </c>
      <c r="I88" s="35">
        <v>0</v>
      </c>
      <c r="J88" s="36">
        <v>0</v>
      </c>
      <c r="K88" s="36">
        <v>0</v>
      </c>
      <c r="L88" s="35">
        <v>0</v>
      </c>
      <c r="M88" s="36">
        <v>0</v>
      </c>
      <c r="N88" s="35">
        <v>0</v>
      </c>
      <c r="O88" s="35">
        <v>0</v>
      </c>
      <c r="P88" s="35">
        <v>0</v>
      </c>
      <c r="Q88" s="36">
        <v>0</v>
      </c>
      <c r="R88" s="35">
        <v>0</v>
      </c>
      <c r="S88" s="35">
        <v>0</v>
      </c>
      <c r="T88" s="36">
        <v>0</v>
      </c>
      <c r="U88" s="35">
        <v>0</v>
      </c>
      <c r="V88" s="36">
        <v>0</v>
      </c>
      <c r="W88" s="36">
        <v>0</v>
      </c>
      <c r="X88" s="35">
        <v>0</v>
      </c>
      <c r="Y88" s="36">
        <v>0</v>
      </c>
      <c r="Z88" s="35">
        <v>0</v>
      </c>
      <c r="AA88" s="36">
        <v>0</v>
      </c>
      <c r="AB88" s="36">
        <v>0</v>
      </c>
      <c r="AC88" s="35">
        <v>0</v>
      </c>
    </row>
    <row r="89" spans="1:29" x14ac:dyDescent="0.3">
      <c r="A89" s="21" t="s">
        <v>194</v>
      </c>
      <c r="B89" s="29">
        <v>11</v>
      </c>
      <c r="C89" s="36">
        <v>0</v>
      </c>
      <c r="D89" s="29">
        <v>29</v>
      </c>
      <c r="E89" s="34">
        <v>100</v>
      </c>
      <c r="F89" s="36">
        <v>0</v>
      </c>
      <c r="G89" s="35">
        <v>0</v>
      </c>
      <c r="H89" s="36">
        <v>0</v>
      </c>
      <c r="I89" s="35">
        <v>0</v>
      </c>
      <c r="J89" s="34">
        <v>100</v>
      </c>
      <c r="K89" s="34">
        <v>17</v>
      </c>
      <c r="L89" s="35">
        <v>0</v>
      </c>
      <c r="M89" s="34">
        <v>60</v>
      </c>
      <c r="N89" s="29">
        <v>88</v>
      </c>
      <c r="O89" s="35">
        <v>0</v>
      </c>
      <c r="P89" s="35">
        <v>0</v>
      </c>
      <c r="Q89" s="36">
        <v>0</v>
      </c>
      <c r="R89" s="35">
        <v>0</v>
      </c>
      <c r="S89" s="35">
        <v>0</v>
      </c>
      <c r="T89" s="36">
        <v>0</v>
      </c>
      <c r="U89" s="35">
        <v>0</v>
      </c>
      <c r="V89" s="36">
        <v>0</v>
      </c>
      <c r="W89" s="36">
        <v>0</v>
      </c>
      <c r="X89" s="35">
        <v>0</v>
      </c>
      <c r="Y89" s="36">
        <v>0</v>
      </c>
      <c r="Z89" s="29">
        <v>6</v>
      </c>
      <c r="AA89" s="36">
        <v>0</v>
      </c>
      <c r="AB89" s="36">
        <v>0</v>
      </c>
      <c r="AC89" s="35">
        <v>0</v>
      </c>
    </row>
    <row r="90" spans="1:29" x14ac:dyDescent="0.3">
      <c r="A90" s="27" t="s">
        <v>195</v>
      </c>
      <c r="B90" s="29">
        <v>11</v>
      </c>
      <c r="C90" s="36">
        <v>0</v>
      </c>
      <c r="D90" s="35">
        <v>0</v>
      </c>
      <c r="E90" s="36">
        <v>0</v>
      </c>
      <c r="F90" s="36">
        <v>0</v>
      </c>
      <c r="G90" s="35">
        <v>0</v>
      </c>
      <c r="H90" s="36">
        <v>0</v>
      </c>
      <c r="I90" s="35">
        <v>0</v>
      </c>
      <c r="J90" s="36">
        <v>0</v>
      </c>
      <c r="K90" s="36">
        <v>0</v>
      </c>
      <c r="L90" s="35">
        <v>0</v>
      </c>
      <c r="M90" s="36">
        <v>0</v>
      </c>
      <c r="N90" s="35">
        <v>0</v>
      </c>
      <c r="O90" s="35">
        <v>0</v>
      </c>
      <c r="P90" s="35">
        <v>0</v>
      </c>
      <c r="Q90" s="36">
        <v>0</v>
      </c>
      <c r="R90" s="35">
        <v>0</v>
      </c>
      <c r="S90" s="35">
        <v>0</v>
      </c>
      <c r="T90" s="36">
        <v>0</v>
      </c>
      <c r="U90" s="35">
        <v>0</v>
      </c>
      <c r="V90" s="36">
        <v>0</v>
      </c>
      <c r="W90" s="36">
        <v>0</v>
      </c>
      <c r="X90" s="35">
        <v>0</v>
      </c>
      <c r="Y90" s="36">
        <v>0</v>
      </c>
      <c r="Z90" s="35">
        <v>0</v>
      </c>
      <c r="AA90" s="36">
        <v>0</v>
      </c>
      <c r="AB90" s="36">
        <v>0</v>
      </c>
      <c r="AC90" s="35">
        <v>0</v>
      </c>
    </row>
    <row r="91" spans="1:29" x14ac:dyDescent="0.3">
      <c r="A91" s="27" t="s">
        <v>196</v>
      </c>
      <c r="B91" s="35">
        <v>0</v>
      </c>
      <c r="C91" s="36">
        <v>0</v>
      </c>
      <c r="D91" s="35">
        <v>0</v>
      </c>
      <c r="E91" s="36">
        <v>0</v>
      </c>
      <c r="F91" s="36">
        <v>0</v>
      </c>
      <c r="G91" s="35">
        <v>0</v>
      </c>
      <c r="H91" s="36">
        <v>0</v>
      </c>
      <c r="I91" s="35">
        <v>0</v>
      </c>
      <c r="J91" s="36">
        <v>0</v>
      </c>
      <c r="K91" s="36">
        <v>0</v>
      </c>
      <c r="L91" s="35">
        <v>0</v>
      </c>
      <c r="M91" s="36">
        <v>0</v>
      </c>
      <c r="N91" s="35">
        <v>0</v>
      </c>
      <c r="O91" s="35">
        <v>0</v>
      </c>
      <c r="P91" s="35">
        <v>0</v>
      </c>
      <c r="Q91" s="36">
        <v>0</v>
      </c>
      <c r="R91" s="35">
        <v>0</v>
      </c>
      <c r="S91" s="35">
        <v>0</v>
      </c>
      <c r="T91" s="36">
        <v>0</v>
      </c>
      <c r="U91" s="35">
        <v>0</v>
      </c>
      <c r="V91" s="36">
        <v>0</v>
      </c>
      <c r="W91" s="36">
        <v>0</v>
      </c>
      <c r="X91" s="35">
        <v>0</v>
      </c>
      <c r="Y91" s="36">
        <v>0</v>
      </c>
      <c r="Z91" s="35">
        <v>0</v>
      </c>
      <c r="AA91" s="36">
        <v>0</v>
      </c>
      <c r="AB91" s="36">
        <v>0</v>
      </c>
      <c r="AC91" s="35">
        <v>0</v>
      </c>
    </row>
    <row r="92" spans="1:29" x14ac:dyDescent="0.3">
      <c r="A92" s="27" t="s">
        <v>197</v>
      </c>
      <c r="B92" s="29">
        <v>122</v>
      </c>
      <c r="C92" s="36">
        <v>0</v>
      </c>
      <c r="D92" s="35">
        <v>0</v>
      </c>
      <c r="E92" s="36">
        <v>0</v>
      </c>
      <c r="F92" s="34">
        <v>140</v>
      </c>
      <c r="G92" s="35">
        <v>0</v>
      </c>
      <c r="H92" s="36">
        <v>0</v>
      </c>
      <c r="I92" s="35">
        <v>0</v>
      </c>
      <c r="J92" s="36">
        <v>0</v>
      </c>
      <c r="K92" s="34">
        <v>50</v>
      </c>
      <c r="L92" s="35">
        <v>0</v>
      </c>
      <c r="M92" s="36">
        <v>0</v>
      </c>
      <c r="N92" s="35">
        <v>0</v>
      </c>
      <c r="O92" s="29">
        <v>17</v>
      </c>
      <c r="P92" s="35">
        <v>0</v>
      </c>
      <c r="Q92" s="36">
        <v>0</v>
      </c>
      <c r="R92" s="35">
        <v>0</v>
      </c>
      <c r="S92" s="35">
        <v>0</v>
      </c>
      <c r="T92" s="36">
        <v>0</v>
      </c>
      <c r="U92" s="35">
        <v>0</v>
      </c>
      <c r="V92" s="36">
        <v>0</v>
      </c>
      <c r="W92" s="36">
        <v>0</v>
      </c>
      <c r="X92" s="35">
        <v>0</v>
      </c>
      <c r="Y92" s="36">
        <v>0</v>
      </c>
      <c r="Z92" s="35">
        <v>0</v>
      </c>
      <c r="AA92" s="36">
        <v>0</v>
      </c>
      <c r="AB92" s="36">
        <v>0</v>
      </c>
      <c r="AC92" s="35">
        <v>0</v>
      </c>
    </row>
    <row r="93" spans="1:29" x14ac:dyDescent="0.3">
      <c r="A93" s="27" t="s">
        <v>198</v>
      </c>
      <c r="B93" s="35">
        <v>0</v>
      </c>
      <c r="C93" s="36">
        <v>0</v>
      </c>
      <c r="D93" s="29">
        <v>14</v>
      </c>
      <c r="E93" s="36">
        <v>0</v>
      </c>
      <c r="F93" s="36">
        <v>0</v>
      </c>
      <c r="G93" s="35">
        <v>0</v>
      </c>
      <c r="H93" s="36">
        <v>0</v>
      </c>
      <c r="I93" s="35">
        <v>0</v>
      </c>
      <c r="J93" s="36">
        <v>0</v>
      </c>
      <c r="K93" s="36">
        <v>0</v>
      </c>
      <c r="L93" s="35">
        <v>0</v>
      </c>
      <c r="M93" s="36">
        <v>0</v>
      </c>
      <c r="N93" s="29">
        <v>13</v>
      </c>
      <c r="O93" s="35">
        <v>0</v>
      </c>
      <c r="P93" s="35">
        <v>0</v>
      </c>
      <c r="Q93" s="36">
        <v>0</v>
      </c>
      <c r="R93" s="35">
        <v>0</v>
      </c>
      <c r="S93" s="35">
        <v>0</v>
      </c>
      <c r="T93" s="34">
        <v>5</v>
      </c>
      <c r="U93" s="29">
        <v>9</v>
      </c>
      <c r="V93" s="36">
        <v>0</v>
      </c>
      <c r="W93" s="36">
        <v>0</v>
      </c>
      <c r="X93" s="35">
        <v>0</v>
      </c>
      <c r="Y93" s="34">
        <v>12</v>
      </c>
      <c r="Z93" s="29">
        <v>19</v>
      </c>
      <c r="AA93" s="34">
        <v>3</v>
      </c>
      <c r="AB93" s="36">
        <v>0</v>
      </c>
      <c r="AC93" s="29">
        <v>7</v>
      </c>
    </row>
    <row r="94" spans="1:29" x14ac:dyDescent="0.3">
      <c r="A94" s="21" t="s">
        <v>199</v>
      </c>
      <c r="B94" s="29">
        <v>33</v>
      </c>
      <c r="C94" s="36">
        <v>0</v>
      </c>
      <c r="D94" s="35">
        <v>0</v>
      </c>
      <c r="E94" s="36">
        <v>0</v>
      </c>
      <c r="F94" s="36">
        <v>0</v>
      </c>
      <c r="G94" s="35">
        <v>0</v>
      </c>
      <c r="H94" s="36">
        <v>0</v>
      </c>
      <c r="I94" s="35">
        <v>0</v>
      </c>
      <c r="J94" s="36">
        <v>0</v>
      </c>
      <c r="K94" s="36">
        <v>0</v>
      </c>
      <c r="L94" s="29">
        <v>20</v>
      </c>
      <c r="M94" s="36">
        <v>0</v>
      </c>
      <c r="N94" s="35">
        <v>0</v>
      </c>
      <c r="O94" s="35">
        <v>0</v>
      </c>
      <c r="P94" s="29">
        <v>5</v>
      </c>
      <c r="Q94" s="36">
        <v>0</v>
      </c>
      <c r="R94" s="35">
        <v>0</v>
      </c>
      <c r="S94" s="35">
        <v>0</v>
      </c>
      <c r="T94" s="36">
        <v>0</v>
      </c>
      <c r="U94" s="35">
        <v>0</v>
      </c>
      <c r="V94" s="36">
        <v>0</v>
      </c>
      <c r="W94" s="36">
        <v>0</v>
      </c>
      <c r="X94" s="35">
        <v>0</v>
      </c>
      <c r="Y94" s="36">
        <v>0</v>
      </c>
      <c r="Z94" s="35">
        <v>0</v>
      </c>
      <c r="AA94" s="36">
        <v>0</v>
      </c>
      <c r="AB94" s="36">
        <v>0</v>
      </c>
      <c r="AC94" s="35">
        <v>0</v>
      </c>
    </row>
    <row r="95" spans="1:29" x14ac:dyDescent="0.3">
      <c r="A95" s="27" t="s">
        <v>200</v>
      </c>
      <c r="B95" s="35">
        <v>0</v>
      </c>
      <c r="C95" s="36">
        <v>0</v>
      </c>
      <c r="D95" s="35">
        <v>0</v>
      </c>
      <c r="E95" s="36">
        <v>0</v>
      </c>
      <c r="F95" s="36">
        <v>0</v>
      </c>
      <c r="G95" s="35">
        <v>0</v>
      </c>
      <c r="H95" s="36">
        <v>0</v>
      </c>
      <c r="I95" s="35">
        <v>0</v>
      </c>
      <c r="J95" s="36">
        <v>0</v>
      </c>
      <c r="K95" s="36">
        <v>0</v>
      </c>
      <c r="L95" s="29">
        <v>100</v>
      </c>
      <c r="M95" s="36">
        <v>0</v>
      </c>
      <c r="N95" s="35">
        <v>0</v>
      </c>
      <c r="O95" s="35">
        <v>0</v>
      </c>
      <c r="P95" s="35">
        <v>0</v>
      </c>
      <c r="Q95" s="36">
        <v>0</v>
      </c>
      <c r="R95" s="35">
        <v>0</v>
      </c>
      <c r="S95" s="35">
        <v>0</v>
      </c>
      <c r="T95" s="36">
        <v>0</v>
      </c>
      <c r="U95" s="35">
        <v>0</v>
      </c>
      <c r="V95" s="36">
        <v>0</v>
      </c>
      <c r="W95" s="36">
        <v>0</v>
      </c>
      <c r="X95" s="35">
        <v>0</v>
      </c>
      <c r="Y95" s="36">
        <v>0</v>
      </c>
      <c r="Z95" s="35">
        <v>0</v>
      </c>
      <c r="AA95" s="36">
        <v>0</v>
      </c>
      <c r="AB95" s="36">
        <v>0</v>
      </c>
      <c r="AC95" s="35">
        <v>0</v>
      </c>
    </row>
    <row r="96" spans="1:29" x14ac:dyDescent="0.3">
      <c r="A96" s="27" t="s">
        <v>201</v>
      </c>
      <c r="B96" s="35">
        <v>0</v>
      </c>
      <c r="C96" s="36">
        <v>0</v>
      </c>
      <c r="D96" s="35">
        <v>0</v>
      </c>
      <c r="E96" s="36">
        <v>0</v>
      </c>
      <c r="F96" s="34">
        <v>20</v>
      </c>
      <c r="G96" s="29">
        <v>20</v>
      </c>
      <c r="H96" s="36">
        <v>0</v>
      </c>
      <c r="I96" s="35">
        <v>0</v>
      </c>
      <c r="J96" s="36">
        <v>0</v>
      </c>
      <c r="K96" s="36">
        <v>0</v>
      </c>
      <c r="L96" s="35">
        <v>0</v>
      </c>
      <c r="M96" s="34">
        <v>20</v>
      </c>
      <c r="N96" s="35">
        <v>0</v>
      </c>
      <c r="O96" s="35">
        <v>0</v>
      </c>
      <c r="P96" s="35">
        <v>0</v>
      </c>
      <c r="Q96" s="36">
        <v>0</v>
      </c>
      <c r="R96" s="35">
        <v>0</v>
      </c>
      <c r="S96" s="29">
        <v>4</v>
      </c>
      <c r="T96" s="36">
        <v>0</v>
      </c>
      <c r="U96" s="29">
        <v>18</v>
      </c>
      <c r="V96" s="34">
        <v>19</v>
      </c>
      <c r="W96" s="34">
        <v>125</v>
      </c>
      <c r="X96" s="29">
        <v>19</v>
      </c>
      <c r="Y96" s="36">
        <v>0</v>
      </c>
      <c r="Z96" s="29">
        <v>6</v>
      </c>
      <c r="AA96" s="34">
        <v>3</v>
      </c>
      <c r="AB96" s="34">
        <v>10</v>
      </c>
      <c r="AC96" s="35">
        <v>0</v>
      </c>
    </row>
    <row r="97" spans="1:29" x14ac:dyDescent="0.3">
      <c r="A97" s="27" t="s">
        <v>202</v>
      </c>
      <c r="B97" s="35">
        <v>0</v>
      </c>
      <c r="C97" s="36">
        <v>0</v>
      </c>
      <c r="D97" s="35">
        <v>0</v>
      </c>
      <c r="E97" s="36">
        <v>0</v>
      </c>
      <c r="F97" s="36">
        <v>0</v>
      </c>
      <c r="G97" s="35">
        <v>0</v>
      </c>
      <c r="H97" s="36">
        <v>0</v>
      </c>
      <c r="I97" s="35">
        <v>0</v>
      </c>
      <c r="J97" s="36">
        <v>0</v>
      </c>
      <c r="K97" s="36">
        <v>0</v>
      </c>
      <c r="L97" s="35">
        <v>0</v>
      </c>
      <c r="M97" s="36">
        <v>0</v>
      </c>
      <c r="N97" s="35">
        <v>0</v>
      </c>
      <c r="O97" s="35">
        <v>0</v>
      </c>
      <c r="P97" s="35">
        <v>0</v>
      </c>
      <c r="Q97" s="36">
        <v>0</v>
      </c>
      <c r="R97" s="35">
        <v>0</v>
      </c>
      <c r="S97" s="35">
        <v>0</v>
      </c>
      <c r="T97" s="36">
        <v>0</v>
      </c>
      <c r="U97" s="35">
        <v>0</v>
      </c>
      <c r="V97" s="36">
        <v>0</v>
      </c>
      <c r="W97" s="36">
        <v>0</v>
      </c>
      <c r="X97" s="35">
        <v>0</v>
      </c>
      <c r="Y97" s="36">
        <v>0</v>
      </c>
      <c r="Z97" s="35">
        <v>0</v>
      </c>
      <c r="AA97" s="36">
        <v>0</v>
      </c>
      <c r="AB97" s="36">
        <v>0</v>
      </c>
      <c r="AC97" s="35">
        <v>0</v>
      </c>
    </row>
    <row r="98" spans="1:29" x14ac:dyDescent="0.3">
      <c r="A98" s="21" t="s">
        <v>203</v>
      </c>
      <c r="B98" s="35">
        <v>0</v>
      </c>
      <c r="C98" s="36">
        <v>0</v>
      </c>
      <c r="D98" s="35">
        <v>0</v>
      </c>
      <c r="E98" s="36">
        <v>0</v>
      </c>
      <c r="F98" s="36">
        <v>0</v>
      </c>
      <c r="G98" s="35">
        <v>0</v>
      </c>
      <c r="H98" s="36">
        <v>0</v>
      </c>
      <c r="I98" s="35">
        <v>0</v>
      </c>
      <c r="J98" s="36">
        <v>0</v>
      </c>
      <c r="K98" s="36">
        <v>0</v>
      </c>
      <c r="L98" s="35">
        <v>0</v>
      </c>
      <c r="M98" s="36">
        <v>0</v>
      </c>
      <c r="N98" s="35">
        <v>0</v>
      </c>
      <c r="O98" s="35">
        <v>0</v>
      </c>
      <c r="P98" s="35">
        <v>0</v>
      </c>
      <c r="Q98" s="36">
        <v>0</v>
      </c>
      <c r="R98" s="35">
        <v>0</v>
      </c>
      <c r="S98" s="35">
        <v>0</v>
      </c>
      <c r="T98" s="36">
        <v>0</v>
      </c>
      <c r="U98" s="35">
        <v>0</v>
      </c>
      <c r="V98" s="36">
        <v>0</v>
      </c>
      <c r="W98" s="36">
        <v>0</v>
      </c>
      <c r="X98" s="35">
        <v>0</v>
      </c>
      <c r="Y98" s="36">
        <v>0</v>
      </c>
      <c r="Z98" s="35">
        <v>0</v>
      </c>
      <c r="AA98" s="36">
        <v>0</v>
      </c>
      <c r="AB98" s="36">
        <v>0</v>
      </c>
      <c r="AC98" s="35">
        <v>0</v>
      </c>
    </row>
    <row r="99" spans="1:29" x14ac:dyDescent="0.3">
      <c r="A99" s="27" t="s">
        <v>204</v>
      </c>
      <c r="B99" s="35">
        <v>0</v>
      </c>
      <c r="C99" s="36">
        <v>0</v>
      </c>
      <c r="D99" s="35">
        <v>0</v>
      </c>
      <c r="E99" s="34">
        <v>14</v>
      </c>
      <c r="F99" s="34">
        <v>120</v>
      </c>
      <c r="G99" s="35">
        <v>0</v>
      </c>
      <c r="H99" s="36">
        <v>0</v>
      </c>
      <c r="I99" s="35">
        <v>0</v>
      </c>
      <c r="J99" s="34">
        <v>60</v>
      </c>
      <c r="K99" s="34">
        <v>167</v>
      </c>
      <c r="L99" s="35">
        <v>0</v>
      </c>
      <c r="M99" s="36">
        <v>0</v>
      </c>
      <c r="N99" s="29">
        <v>163</v>
      </c>
      <c r="O99" s="29">
        <v>183</v>
      </c>
      <c r="P99" s="35">
        <v>0</v>
      </c>
      <c r="Q99" s="36">
        <v>0</v>
      </c>
      <c r="R99" s="29">
        <v>1</v>
      </c>
      <c r="S99" s="35">
        <v>0</v>
      </c>
      <c r="T99" s="36">
        <v>0</v>
      </c>
      <c r="U99" s="29">
        <v>9</v>
      </c>
      <c r="V99" s="36">
        <v>0</v>
      </c>
      <c r="W99" s="36">
        <v>0</v>
      </c>
      <c r="X99" s="29">
        <v>6</v>
      </c>
      <c r="Y99" s="36">
        <v>0</v>
      </c>
      <c r="Z99" s="29">
        <v>6</v>
      </c>
      <c r="AA99" s="36">
        <v>0</v>
      </c>
      <c r="AB99" s="36">
        <v>0</v>
      </c>
      <c r="AC99" s="35">
        <v>0</v>
      </c>
    </row>
    <row r="100" spans="1:29" x14ac:dyDescent="0.3">
      <c r="A100" s="21" t="s">
        <v>119</v>
      </c>
      <c r="B100" s="35">
        <v>0</v>
      </c>
      <c r="C100" s="36">
        <v>0</v>
      </c>
      <c r="D100" s="35">
        <v>0</v>
      </c>
      <c r="E100" s="36">
        <v>0</v>
      </c>
      <c r="F100" s="36">
        <v>0</v>
      </c>
      <c r="G100" s="35">
        <v>0</v>
      </c>
      <c r="H100" s="36">
        <v>0</v>
      </c>
      <c r="I100" s="35">
        <v>0</v>
      </c>
      <c r="J100" s="36">
        <v>0</v>
      </c>
      <c r="K100" s="36">
        <v>0</v>
      </c>
      <c r="L100" s="35">
        <v>0</v>
      </c>
      <c r="M100" s="36">
        <v>0</v>
      </c>
      <c r="N100" s="35">
        <v>0</v>
      </c>
      <c r="O100" s="35">
        <v>0</v>
      </c>
      <c r="P100" s="35">
        <v>0</v>
      </c>
      <c r="Q100" s="36">
        <v>0</v>
      </c>
      <c r="R100" s="35">
        <v>0</v>
      </c>
      <c r="S100" s="35">
        <v>0</v>
      </c>
      <c r="T100" s="36">
        <v>0</v>
      </c>
      <c r="U100" s="35">
        <v>0</v>
      </c>
      <c r="V100" s="36">
        <v>0</v>
      </c>
      <c r="W100" s="36">
        <v>0</v>
      </c>
      <c r="X100" s="35">
        <v>0</v>
      </c>
      <c r="Y100" s="36">
        <v>0</v>
      </c>
      <c r="Z100" s="35">
        <v>0</v>
      </c>
      <c r="AA100" s="36">
        <v>0</v>
      </c>
      <c r="AB100" s="36">
        <v>0</v>
      </c>
      <c r="AC100" s="35">
        <v>0</v>
      </c>
    </row>
    <row r="101" spans="1:29" x14ac:dyDescent="0.3">
      <c r="A101" s="21" t="s">
        <v>205</v>
      </c>
      <c r="B101" s="35">
        <v>0</v>
      </c>
      <c r="C101" s="36">
        <v>0</v>
      </c>
      <c r="D101" s="29">
        <v>14</v>
      </c>
      <c r="E101" s="36">
        <v>0</v>
      </c>
      <c r="F101" s="36">
        <v>0</v>
      </c>
      <c r="G101" s="35">
        <v>0</v>
      </c>
      <c r="H101" s="34">
        <v>100</v>
      </c>
      <c r="I101" s="35">
        <v>0</v>
      </c>
      <c r="J101" s="34">
        <v>20</v>
      </c>
      <c r="K101" s="36">
        <v>0</v>
      </c>
      <c r="L101" s="35">
        <v>0</v>
      </c>
      <c r="M101" s="36">
        <v>0</v>
      </c>
      <c r="N101" s="35">
        <v>0</v>
      </c>
      <c r="O101" s="29">
        <v>17</v>
      </c>
      <c r="P101" s="35">
        <v>0</v>
      </c>
      <c r="Q101" s="36">
        <v>0</v>
      </c>
      <c r="R101" s="35">
        <v>0</v>
      </c>
      <c r="S101" s="35">
        <v>0</v>
      </c>
      <c r="T101" s="36">
        <v>0</v>
      </c>
      <c r="U101" s="35">
        <v>0</v>
      </c>
      <c r="V101" s="36">
        <v>0</v>
      </c>
      <c r="W101" s="36">
        <v>0</v>
      </c>
      <c r="X101" s="35">
        <v>0</v>
      </c>
      <c r="Y101" s="36">
        <v>0</v>
      </c>
      <c r="Z101" s="35">
        <v>0</v>
      </c>
      <c r="AA101" s="36">
        <v>0</v>
      </c>
      <c r="AB101" s="36">
        <v>0</v>
      </c>
      <c r="AC101" s="35">
        <v>0</v>
      </c>
    </row>
    <row r="102" spans="1:29" x14ac:dyDescent="0.3">
      <c r="A102" s="21" t="s">
        <v>206</v>
      </c>
      <c r="B102" s="35">
        <v>0</v>
      </c>
      <c r="C102" s="34">
        <v>10</v>
      </c>
      <c r="D102" s="35">
        <v>0</v>
      </c>
      <c r="E102" s="36">
        <v>0</v>
      </c>
      <c r="F102" s="36">
        <v>0</v>
      </c>
      <c r="G102" s="35">
        <v>0</v>
      </c>
      <c r="H102" s="36">
        <v>0</v>
      </c>
      <c r="I102" s="35">
        <v>0</v>
      </c>
      <c r="J102" s="36">
        <v>0</v>
      </c>
      <c r="K102" s="36">
        <v>0</v>
      </c>
      <c r="L102" s="29">
        <v>240</v>
      </c>
      <c r="M102" s="36">
        <v>0</v>
      </c>
      <c r="N102" s="29">
        <v>13</v>
      </c>
      <c r="O102" s="35">
        <v>0</v>
      </c>
      <c r="P102" s="35">
        <v>0</v>
      </c>
      <c r="Q102" s="36">
        <v>0</v>
      </c>
      <c r="R102" s="35">
        <v>0</v>
      </c>
      <c r="S102" s="35">
        <v>0</v>
      </c>
      <c r="T102" s="36">
        <v>0</v>
      </c>
      <c r="U102" s="35">
        <v>0</v>
      </c>
      <c r="V102" s="34">
        <v>4</v>
      </c>
      <c r="W102" s="36">
        <v>0</v>
      </c>
      <c r="X102" s="35">
        <v>0</v>
      </c>
      <c r="Y102" s="36">
        <v>0</v>
      </c>
      <c r="Z102" s="35">
        <v>0</v>
      </c>
      <c r="AA102" s="36">
        <v>0</v>
      </c>
      <c r="AB102" s="36">
        <v>0</v>
      </c>
      <c r="AC102" s="35">
        <v>0</v>
      </c>
    </row>
    <row r="103" spans="1:29" x14ac:dyDescent="0.3">
      <c r="A103" s="27" t="s">
        <v>207</v>
      </c>
      <c r="B103" s="35">
        <v>0</v>
      </c>
      <c r="C103" s="36">
        <v>0</v>
      </c>
      <c r="D103" s="35">
        <v>0</v>
      </c>
      <c r="E103" s="36">
        <v>0</v>
      </c>
      <c r="F103" s="36">
        <v>0</v>
      </c>
      <c r="G103" s="35">
        <v>0</v>
      </c>
      <c r="H103" s="36">
        <v>0</v>
      </c>
      <c r="I103" s="35">
        <v>0</v>
      </c>
      <c r="J103" s="36">
        <v>0</v>
      </c>
      <c r="K103" s="36">
        <v>0</v>
      </c>
      <c r="L103" s="35">
        <v>0</v>
      </c>
      <c r="M103" s="36">
        <v>0</v>
      </c>
      <c r="N103" s="35">
        <v>0</v>
      </c>
      <c r="O103" s="35">
        <v>0</v>
      </c>
      <c r="P103" s="35">
        <v>0</v>
      </c>
      <c r="Q103" s="36">
        <v>0</v>
      </c>
      <c r="R103" s="35">
        <v>0</v>
      </c>
      <c r="S103" s="35">
        <v>0</v>
      </c>
      <c r="T103" s="36">
        <v>0</v>
      </c>
      <c r="U103" s="35">
        <v>0</v>
      </c>
      <c r="V103" s="34">
        <v>8</v>
      </c>
      <c r="W103" s="34">
        <v>10</v>
      </c>
      <c r="X103" s="29">
        <v>19</v>
      </c>
      <c r="Y103" s="36">
        <v>0</v>
      </c>
      <c r="Z103" s="29">
        <v>6</v>
      </c>
      <c r="AA103" s="36">
        <v>0</v>
      </c>
      <c r="AB103" s="36">
        <v>0</v>
      </c>
      <c r="AC103" s="35">
        <v>0</v>
      </c>
    </row>
    <row r="104" spans="1:29" x14ac:dyDescent="0.3">
      <c r="A104" s="27" t="s">
        <v>208</v>
      </c>
      <c r="B104" s="35">
        <v>0</v>
      </c>
      <c r="C104" s="36">
        <v>0</v>
      </c>
      <c r="D104" s="35">
        <v>0</v>
      </c>
      <c r="E104" s="36">
        <v>0</v>
      </c>
      <c r="F104" s="36">
        <v>0</v>
      </c>
      <c r="G104" s="35">
        <v>0</v>
      </c>
      <c r="H104" s="36">
        <v>0</v>
      </c>
      <c r="I104" s="35">
        <v>0</v>
      </c>
      <c r="J104" s="36">
        <v>0</v>
      </c>
      <c r="K104" s="36">
        <v>0</v>
      </c>
      <c r="L104" s="35">
        <v>0</v>
      </c>
      <c r="M104" s="34">
        <v>80</v>
      </c>
      <c r="N104" s="29">
        <v>13</v>
      </c>
      <c r="O104" s="35">
        <v>0</v>
      </c>
      <c r="P104" s="35">
        <v>0</v>
      </c>
      <c r="Q104" s="36">
        <v>0</v>
      </c>
      <c r="R104" s="35">
        <v>0</v>
      </c>
      <c r="S104" s="29">
        <v>4</v>
      </c>
      <c r="T104" s="34">
        <v>11</v>
      </c>
      <c r="U104" s="29">
        <v>9</v>
      </c>
      <c r="V104" s="34">
        <v>62</v>
      </c>
      <c r="W104" s="34">
        <v>5</v>
      </c>
      <c r="X104" s="29">
        <v>63</v>
      </c>
      <c r="Y104" s="34">
        <v>35</v>
      </c>
      <c r="Z104" s="29">
        <v>44</v>
      </c>
      <c r="AA104" s="34">
        <v>3</v>
      </c>
      <c r="AB104" s="36">
        <v>0</v>
      </c>
      <c r="AC104" s="35">
        <v>0</v>
      </c>
    </row>
    <row r="105" spans="1:29" x14ac:dyDescent="0.3">
      <c r="A105" s="27" t="s">
        <v>209</v>
      </c>
      <c r="B105" s="35">
        <v>0</v>
      </c>
      <c r="C105" s="36">
        <v>0</v>
      </c>
      <c r="D105" s="35">
        <v>0</v>
      </c>
      <c r="E105" s="36">
        <v>0</v>
      </c>
      <c r="F105" s="36">
        <v>0</v>
      </c>
      <c r="G105" s="35">
        <v>0</v>
      </c>
      <c r="H105" s="36">
        <v>0</v>
      </c>
      <c r="I105" s="35">
        <v>0</v>
      </c>
      <c r="J105" s="36">
        <v>0</v>
      </c>
      <c r="K105" s="36">
        <v>0</v>
      </c>
      <c r="L105" s="35">
        <v>0</v>
      </c>
      <c r="M105" s="36">
        <v>0</v>
      </c>
      <c r="N105" s="35">
        <v>0</v>
      </c>
      <c r="O105" s="35">
        <v>0</v>
      </c>
      <c r="P105" s="35">
        <v>0</v>
      </c>
      <c r="Q105" s="36">
        <v>0</v>
      </c>
      <c r="R105" s="29">
        <v>1</v>
      </c>
      <c r="S105" s="35">
        <v>0</v>
      </c>
      <c r="T105" s="36">
        <v>0</v>
      </c>
      <c r="U105" s="35">
        <v>0</v>
      </c>
      <c r="V105" s="36">
        <v>0</v>
      </c>
      <c r="W105" s="36">
        <v>0</v>
      </c>
      <c r="X105" s="35">
        <v>0</v>
      </c>
      <c r="Y105" s="36">
        <v>0</v>
      </c>
      <c r="Z105" s="35">
        <v>0</v>
      </c>
      <c r="AA105" s="36">
        <v>0</v>
      </c>
      <c r="AB105" s="36">
        <v>0</v>
      </c>
      <c r="AC105" s="35">
        <v>0</v>
      </c>
    </row>
    <row r="106" spans="1:29" x14ac:dyDescent="0.3">
      <c r="A106" s="27" t="s">
        <v>210</v>
      </c>
      <c r="B106" s="35">
        <v>0</v>
      </c>
      <c r="C106" s="36">
        <v>0</v>
      </c>
      <c r="D106" s="35">
        <v>0</v>
      </c>
      <c r="E106" s="36">
        <v>0</v>
      </c>
      <c r="F106" s="36">
        <v>0</v>
      </c>
      <c r="G106" s="35">
        <v>0</v>
      </c>
      <c r="H106" s="36">
        <v>0</v>
      </c>
      <c r="I106" s="35">
        <v>0</v>
      </c>
      <c r="J106" s="36">
        <v>0</v>
      </c>
      <c r="K106" s="36">
        <v>0</v>
      </c>
      <c r="L106" s="35">
        <v>0</v>
      </c>
      <c r="M106" s="36">
        <v>0</v>
      </c>
      <c r="N106" s="35">
        <v>0</v>
      </c>
      <c r="O106" s="35">
        <v>0</v>
      </c>
      <c r="P106" s="35">
        <v>0</v>
      </c>
      <c r="Q106" s="36">
        <v>0</v>
      </c>
      <c r="R106" s="35">
        <v>0</v>
      </c>
      <c r="S106" s="29">
        <v>19</v>
      </c>
      <c r="T106" s="36">
        <v>0</v>
      </c>
      <c r="U106" s="35">
        <v>0</v>
      </c>
      <c r="V106" s="36">
        <v>0</v>
      </c>
      <c r="W106" s="34">
        <v>25</v>
      </c>
      <c r="X106" s="35">
        <v>0</v>
      </c>
      <c r="Y106" s="36">
        <v>0</v>
      </c>
      <c r="Z106" s="35">
        <v>0</v>
      </c>
      <c r="AA106" s="36">
        <v>0</v>
      </c>
      <c r="AB106" s="34">
        <v>10</v>
      </c>
      <c r="AC106" s="29">
        <v>7</v>
      </c>
    </row>
    <row r="107" spans="1:29" x14ac:dyDescent="0.3">
      <c r="A107" s="21" t="s">
        <v>211</v>
      </c>
      <c r="B107" s="35">
        <v>0</v>
      </c>
      <c r="C107" s="36">
        <v>0</v>
      </c>
      <c r="D107" s="35">
        <v>0</v>
      </c>
      <c r="E107" s="36">
        <v>0</v>
      </c>
      <c r="F107" s="36">
        <v>0</v>
      </c>
      <c r="G107" s="35">
        <v>0</v>
      </c>
      <c r="H107" s="36">
        <v>0</v>
      </c>
      <c r="I107" s="35">
        <v>0</v>
      </c>
      <c r="J107" s="36">
        <v>0</v>
      </c>
      <c r="K107" s="36">
        <v>0</v>
      </c>
      <c r="L107" s="35">
        <v>0</v>
      </c>
      <c r="M107" s="36">
        <v>0</v>
      </c>
      <c r="N107" s="35">
        <v>0</v>
      </c>
      <c r="O107" s="35">
        <v>0</v>
      </c>
      <c r="P107" s="35">
        <v>0</v>
      </c>
      <c r="Q107" s="36">
        <v>0</v>
      </c>
      <c r="R107" s="35">
        <v>0</v>
      </c>
      <c r="S107" s="35">
        <v>0</v>
      </c>
      <c r="T107" s="36">
        <v>0</v>
      </c>
      <c r="U107" s="35">
        <v>0</v>
      </c>
      <c r="V107" s="36">
        <v>0</v>
      </c>
      <c r="W107" s="36">
        <v>0</v>
      </c>
      <c r="X107" s="35">
        <v>0</v>
      </c>
      <c r="Y107" s="36">
        <v>0</v>
      </c>
      <c r="Z107" s="35">
        <v>0</v>
      </c>
      <c r="AA107" s="36">
        <v>0</v>
      </c>
      <c r="AB107" s="36">
        <v>0</v>
      </c>
      <c r="AC107" s="35">
        <v>0</v>
      </c>
    </row>
    <row r="108" spans="1:29" x14ac:dyDescent="0.3">
      <c r="A108" s="27" t="s">
        <v>212</v>
      </c>
      <c r="B108" s="35">
        <v>0</v>
      </c>
      <c r="C108" s="36">
        <v>0</v>
      </c>
      <c r="D108" s="35">
        <v>0</v>
      </c>
      <c r="E108" s="36">
        <v>0</v>
      </c>
      <c r="F108" s="36">
        <v>0</v>
      </c>
      <c r="G108" s="35">
        <v>0</v>
      </c>
      <c r="H108" s="36">
        <v>0</v>
      </c>
      <c r="I108" s="35">
        <v>0</v>
      </c>
      <c r="J108" s="36">
        <v>0</v>
      </c>
      <c r="K108" s="36">
        <v>0</v>
      </c>
      <c r="L108" s="29">
        <v>120</v>
      </c>
      <c r="M108" s="34">
        <v>20</v>
      </c>
      <c r="N108" s="35">
        <v>0</v>
      </c>
      <c r="O108" s="35">
        <v>0</v>
      </c>
      <c r="P108" s="35">
        <v>0</v>
      </c>
      <c r="Q108" s="36">
        <v>0</v>
      </c>
      <c r="R108" s="35">
        <v>0</v>
      </c>
      <c r="S108" s="35">
        <v>0</v>
      </c>
      <c r="T108" s="36">
        <v>0</v>
      </c>
      <c r="U108" s="35">
        <v>0</v>
      </c>
      <c r="V108" s="36">
        <v>0</v>
      </c>
      <c r="W108" s="36">
        <v>0</v>
      </c>
      <c r="X108" s="35">
        <v>0</v>
      </c>
      <c r="Y108" s="34">
        <v>6</v>
      </c>
      <c r="Z108" s="29">
        <v>44</v>
      </c>
      <c r="AA108" s="36">
        <v>0</v>
      </c>
      <c r="AB108" s="36">
        <v>0</v>
      </c>
      <c r="AC108" s="35">
        <v>0</v>
      </c>
    </row>
    <row r="109" spans="1:29" x14ac:dyDescent="0.3">
      <c r="A109" s="27" t="s">
        <v>213</v>
      </c>
      <c r="B109" s="35">
        <v>0</v>
      </c>
      <c r="C109" s="36">
        <v>0</v>
      </c>
      <c r="D109" s="35">
        <v>0</v>
      </c>
      <c r="E109" s="36">
        <v>0</v>
      </c>
      <c r="F109" s="36">
        <v>0</v>
      </c>
      <c r="G109" s="35">
        <v>0</v>
      </c>
      <c r="H109" s="36">
        <v>0</v>
      </c>
      <c r="I109" s="35">
        <v>0</v>
      </c>
      <c r="J109" s="36">
        <v>0</v>
      </c>
      <c r="K109" s="36">
        <v>0</v>
      </c>
      <c r="L109" s="35">
        <v>0</v>
      </c>
      <c r="M109" s="36">
        <v>0</v>
      </c>
      <c r="N109" s="29">
        <v>13</v>
      </c>
      <c r="O109" s="35">
        <v>0</v>
      </c>
      <c r="P109" s="35">
        <v>0</v>
      </c>
      <c r="Q109" s="36">
        <v>0</v>
      </c>
      <c r="R109" s="35">
        <v>0</v>
      </c>
      <c r="S109" s="35">
        <v>0</v>
      </c>
      <c r="T109" s="36">
        <v>0</v>
      </c>
      <c r="U109" s="35">
        <v>0</v>
      </c>
      <c r="V109" s="34">
        <v>4</v>
      </c>
      <c r="W109" s="36">
        <v>0</v>
      </c>
      <c r="X109" s="35">
        <v>0</v>
      </c>
      <c r="Y109" s="36">
        <v>0</v>
      </c>
      <c r="Z109" s="35">
        <v>0</v>
      </c>
      <c r="AA109" s="36">
        <v>0</v>
      </c>
      <c r="AB109" s="36">
        <v>0</v>
      </c>
      <c r="AC109" s="35">
        <v>0</v>
      </c>
    </row>
    <row r="110" spans="1:29" x14ac:dyDescent="0.3">
      <c r="A110" s="21" t="s">
        <v>214</v>
      </c>
      <c r="B110" s="35">
        <v>0</v>
      </c>
      <c r="C110" s="36">
        <v>0</v>
      </c>
      <c r="D110" s="35">
        <v>0</v>
      </c>
      <c r="E110" s="36">
        <v>0</v>
      </c>
      <c r="F110" s="36">
        <v>0</v>
      </c>
      <c r="G110" s="35">
        <v>0</v>
      </c>
      <c r="H110" s="36">
        <v>0</v>
      </c>
      <c r="I110" s="35">
        <v>0</v>
      </c>
      <c r="J110" s="36">
        <v>0</v>
      </c>
      <c r="K110" s="36">
        <v>0</v>
      </c>
      <c r="L110" s="35">
        <v>0</v>
      </c>
      <c r="M110" s="36">
        <v>0</v>
      </c>
      <c r="N110" s="35">
        <v>0</v>
      </c>
      <c r="O110" s="35">
        <v>0</v>
      </c>
      <c r="P110" s="35">
        <v>0</v>
      </c>
      <c r="Q110" s="36">
        <v>0</v>
      </c>
      <c r="R110" s="35">
        <v>0</v>
      </c>
      <c r="S110" s="35">
        <v>0</v>
      </c>
      <c r="T110" s="36">
        <v>0</v>
      </c>
      <c r="U110" s="35">
        <v>0</v>
      </c>
      <c r="V110" s="36">
        <v>0</v>
      </c>
      <c r="W110" s="36">
        <v>0</v>
      </c>
      <c r="X110" s="35">
        <v>0</v>
      </c>
      <c r="Y110" s="36">
        <v>0</v>
      </c>
      <c r="Z110" s="35">
        <v>0</v>
      </c>
      <c r="AA110" s="36">
        <v>0</v>
      </c>
      <c r="AB110" s="36">
        <v>0</v>
      </c>
      <c r="AC110" s="35">
        <v>0</v>
      </c>
    </row>
    <row r="111" spans="1:29" x14ac:dyDescent="0.3">
      <c r="A111" s="27" t="s">
        <v>215</v>
      </c>
      <c r="B111" s="35">
        <v>0</v>
      </c>
      <c r="C111" s="36">
        <v>0</v>
      </c>
      <c r="D111" s="29">
        <v>29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  <c r="J111" s="36">
        <v>0</v>
      </c>
      <c r="K111" s="36">
        <v>0</v>
      </c>
      <c r="L111" s="35">
        <v>0</v>
      </c>
      <c r="M111" s="34">
        <v>20</v>
      </c>
      <c r="N111" s="29">
        <v>13</v>
      </c>
      <c r="O111" s="35">
        <v>0</v>
      </c>
      <c r="P111" s="35">
        <v>0</v>
      </c>
      <c r="Q111" s="36">
        <v>0</v>
      </c>
      <c r="R111" s="35">
        <v>0</v>
      </c>
      <c r="S111" s="35">
        <v>0</v>
      </c>
      <c r="T111" s="36">
        <v>0</v>
      </c>
      <c r="U111" s="35">
        <v>0</v>
      </c>
      <c r="V111" s="36">
        <v>0</v>
      </c>
      <c r="W111" s="36">
        <v>0</v>
      </c>
      <c r="X111" s="35">
        <v>0</v>
      </c>
      <c r="Y111" s="36">
        <v>0</v>
      </c>
      <c r="Z111" s="35">
        <v>0</v>
      </c>
      <c r="AA111" s="36">
        <v>0</v>
      </c>
      <c r="AB111" s="36">
        <v>0</v>
      </c>
      <c r="AC111" s="35">
        <v>0</v>
      </c>
    </row>
    <row r="112" spans="1:29" x14ac:dyDescent="0.3">
      <c r="A112" s="21" t="s">
        <v>216</v>
      </c>
      <c r="B112" s="35">
        <v>0</v>
      </c>
      <c r="C112" s="34">
        <v>10</v>
      </c>
      <c r="D112" s="29">
        <v>14</v>
      </c>
      <c r="E112" s="36">
        <v>0</v>
      </c>
      <c r="F112" s="36">
        <v>0</v>
      </c>
      <c r="G112" s="35">
        <v>0</v>
      </c>
      <c r="H112" s="34">
        <v>40</v>
      </c>
      <c r="I112" s="35">
        <v>0</v>
      </c>
      <c r="J112" s="34">
        <v>20</v>
      </c>
      <c r="K112" s="36">
        <v>0</v>
      </c>
      <c r="L112" s="29">
        <v>220</v>
      </c>
      <c r="M112" s="34">
        <v>120</v>
      </c>
      <c r="N112" s="29">
        <v>75</v>
      </c>
      <c r="O112" s="35">
        <v>0</v>
      </c>
      <c r="P112" s="29">
        <v>9</v>
      </c>
      <c r="Q112" s="36">
        <v>0</v>
      </c>
      <c r="R112" s="29">
        <v>2</v>
      </c>
      <c r="S112" s="35">
        <v>0</v>
      </c>
      <c r="T112" s="34">
        <v>5</v>
      </c>
      <c r="U112" s="29">
        <v>9</v>
      </c>
      <c r="V112" s="36">
        <v>0</v>
      </c>
      <c r="W112" s="36">
        <v>0</v>
      </c>
      <c r="X112" s="35">
        <v>0</v>
      </c>
      <c r="Y112" s="36">
        <v>0</v>
      </c>
      <c r="Z112" s="35">
        <v>0</v>
      </c>
      <c r="AA112" s="36">
        <v>0</v>
      </c>
      <c r="AB112" s="36">
        <v>0</v>
      </c>
      <c r="AC112" s="35">
        <v>0</v>
      </c>
    </row>
    <row r="113" spans="1:29" x14ac:dyDescent="0.3">
      <c r="A113" s="27" t="s">
        <v>217</v>
      </c>
      <c r="B113" s="35">
        <v>0</v>
      </c>
      <c r="C113" s="36">
        <v>0</v>
      </c>
      <c r="D113" s="35">
        <v>0</v>
      </c>
      <c r="E113" s="36">
        <v>0</v>
      </c>
      <c r="F113" s="36">
        <v>0</v>
      </c>
      <c r="G113" s="35">
        <v>0</v>
      </c>
      <c r="H113" s="36">
        <v>0</v>
      </c>
      <c r="I113" s="35">
        <v>0</v>
      </c>
      <c r="J113" s="36">
        <v>0</v>
      </c>
      <c r="K113" s="36">
        <v>0</v>
      </c>
      <c r="L113" s="35">
        <v>0</v>
      </c>
      <c r="M113" s="36">
        <v>0</v>
      </c>
      <c r="N113" s="35">
        <v>0</v>
      </c>
      <c r="O113" s="35">
        <v>0</v>
      </c>
      <c r="P113" s="35">
        <v>0</v>
      </c>
      <c r="Q113" s="36">
        <v>0</v>
      </c>
      <c r="R113" s="35">
        <v>0</v>
      </c>
      <c r="S113" s="35">
        <v>0</v>
      </c>
      <c r="T113" s="36">
        <v>0</v>
      </c>
      <c r="U113" s="35">
        <v>0</v>
      </c>
      <c r="V113" s="36">
        <v>0</v>
      </c>
      <c r="W113" s="36">
        <v>0</v>
      </c>
      <c r="X113" s="35">
        <v>0</v>
      </c>
      <c r="Y113" s="36">
        <v>0</v>
      </c>
      <c r="Z113" s="35">
        <v>0</v>
      </c>
      <c r="AA113" s="36">
        <v>0</v>
      </c>
      <c r="AB113" s="36">
        <v>0</v>
      </c>
      <c r="AC113" s="35">
        <v>0</v>
      </c>
    </row>
    <row r="114" spans="1:29" x14ac:dyDescent="0.3">
      <c r="A114" s="27" t="s">
        <v>218</v>
      </c>
      <c r="B114" s="35">
        <v>0</v>
      </c>
      <c r="C114" s="36">
        <v>0</v>
      </c>
      <c r="D114" s="35">
        <v>0</v>
      </c>
      <c r="E114" s="36">
        <v>0</v>
      </c>
      <c r="F114" s="36">
        <v>0</v>
      </c>
      <c r="G114" s="35">
        <v>0</v>
      </c>
      <c r="H114" s="36">
        <v>0</v>
      </c>
      <c r="I114" s="35">
        <v>0</v>
      </c>
      <c r="J114" s="36">
        <v>0</v>
      </c>
      <c r="K114" s="36">
        <v>0</v>
      </c>
      <c r="L114" s="35">
        <v>0</v>
      </c>
      <c r="M114" s="36">
        <v>0</v>
      </c>
      <c r="N114" s="35">
        <v>0</v>
      </c>
      <c r="O114" s="35">
        <v>0</v>
      </c>
      <c r="P114" s="35">
        <v>0</v>
      </c>
      <c r="Q114" s="36">
        <v>0</v>
      </c>
      <c r="R114" s="35">
        <v>0</v>
      </c>
      <c r="S114" s="35">
        <v>0</v>
      </c>
      <c r="T114" s="34">
        <v>11</v>
      </c>
      <c r="U114" s="29">
        <v>9</v>
      </c>
      <c r="V114" s="36">
        <v>0</v>
      </c>
      <c r="W114" s="36">
        <v>0</v>
      </c>
      <c r="X114" s="35">
        <v>0</v>
      </c>
      <c r="Y114" s="34">
        <v>12</v>
      </c>
      <c r="Z114" s="29">
        <v>6</v>
      </c>
      <c r="AA114" s="36">
        <v>0</v>
      </c>
      <c r="AB114" s="36">
        <v>0</v>
      </c>
      <c r="AC114" s="35">
        <v>0</v>
      </c>
    </row>
    <row r="115" spans="1:29" x14ac:dyDescent="0.3">
      <c r="A115" s="27" t="s">
        <v>219</v>
      </c>
      <c r="B115" s="35">
        <v>0</v>
      </c>
      <c r="C115" s="36">
        <v>0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35">
        <v>0</v>
      </c>
      <c r="J115" s="36">
        <v>0</v>
      </c>
      <c r="K115" s="36">
        <v>0</v>
      </c>
      <c r="L115" s="29">
        <v>80</v>
      </c>
      <c r="M115" s="36">
        <v>0</v>
      </c>
      <c r="N115" s="29">
        <v>300</v>
      </c>
      <c r="O115" s="29">
        <v>167</v>
      </c>
      <c r="P115" s="35">
        <v>0</v>
      </c>
      <c r="Q115" s="36">
        <v>0</v>
      </c>
      <c r="R115" s="35">
        <v>0</v>
      </c>
      <c r="S115" s="35">
        <v>0</v>
      </c>
      <c r="T115" s="36">
        <v>0</v>
      </c>
      <c r="U115" s="29">
        <v>18</v>
      </c>
      <c r="V115" s="36">
        <v>0</v>
      </c>
      <c r="W115" s="36">
        <v>0</v>
      </c>
      <c r="X115" s="35">
        <v>0</v>
      </c>
      <c r="Y115" s="36">
        <v>0</v>
      </c>
      <c r="Z115" s="29">
        <v>6</v>
      </c>
      <c r="AA115" s="36">
        <v>0</v>
      </c>
      <c r="AB115" s="34">
        <v>5</v>
      </c>
      <c r="AC115" s="29">
        <v>7</v>
      </c>
    </row>
    <row r="116" spans="1:29" x14ac:dyDescent="0.3">
      <c r="A116" s="27" t="s">
        <v>220</v>
      </c>
      <c r="B116" s="29">
        <v>11</v>
      </c>
      <c r="C116" s="34">
        <v>20</v>
      </c>
      <c r="D116" s="29">
        <v>29</v>
      </c>
      <c r="E116" s="34">
        <v>43</v>
      </c>
      <c r="F116" s="34">
        <v>40</v>
      </c>
      <c r="G116" s="29">
        <v>160</v>
      </c>
      <c r="H116" s="34">
        <v>100</v>
      </c>
      <c r="I116" s="35">
        <v>0</v>
      </c>
      <c r="J116" s="34">
        <v>220</v>
      </c>
      <c r="K116" s="34">
        <v>117</v>
      </c>
      <c r="L116" s="29">
        <v>140</v>
      </c>
      <c r="M116" s="34">
        <v>60</v>
      </c>
      <c r="N116" s="29">
        <v>125</v>
      </c>
      <c r="O116" s="29">
        <v>17</v>
      </c>
      <c r="P116" s="35">
        <v>0</v>
      </c>
      <c r="Q116" s="34">
        <v>1</v>
      </c>
      <c r="R116" s="35">
        <v>0</v>
      </c>
      <c r="S116" s="29">
        <v>37</v>
      </c>
      <c r="T116" s="34">
        <v>16</v>
      </c>
      <c r="U116" s="29">
        <v>82</v>
      </c>
      <c r="V116" s="36">
        <v>0</v>
      </c>
      <c r="W116" s="34">
        <v>10</v>
      </c>
      <c r="X116" s="35">
        <v>0</v>
      </c>
      <c r="Y116" s="36">
        <v>0</v>
      </c>
      <c r="Z116" s="29">
        <v>138</v>
      </c>
      <c r="AA116" s="34">
        <v>21</v>
      </c>
      <c r="AB116" s="34">
        <v>10</v>
      </c>
      <c r="AC116" s="29">
        <v>21</v>
      </c>
    </row>
    <row r="117" spans="1:29" x14ac:dyDescent="0.3">
      <c r="A117" s="21" t="s">
        <v>221</v>
      </c>
      <c r="B117" s="35">
        <v>0</v>
      </c>
      <c r="C117" s="34">
        <v>10</v>
      </c>
      <c r="D117" s="35">
        <v>0</v>
      </c>
      <c r="E117" s="36">
        <v>0</v>
      </c>
      <c r="F117" s="36">
        <v>0</v>
      </c>
      <c r="G117" s="35">
        <v>0</v>
      </c>
      <c r="H117" s="36">
        <v>0</v>
      </c>
      <c r="I117" s="29">
        <v>10</v>
      </c>
      <c r="J117" s="36">
        <v>0</v>
      </c>
      <c r="K117" s="36">
        <v>0</v>
      </c>
      <c r="L117" s="29">
        <v>20</v>
      </c>
      <c r="M117" s="36">
        <v>0</v>
      </c>
      <c r="N117" s="35">
        <v>0</v>
      </c>
      <c r="O117" s="29">
        <v>17</v>
      </c>
      <c r="P117" s="35">
        <v>0</v>
      </c>
      <c r="Q117" s="36">
        <v>0</v>
      </c>
      <c r="R117" s="35">
        <v>0</v>
      </c>
      <c r="S117" s="35">
        <v>0</v>
      </c>
      <c r="T117" s="36">
        <v>0</v>
      </c>
      <c r="U117" s="35">
        <v>0</v>
      </c>
      <c r="V117" s="36">
        <v>0</v>
      </c>
      <c r="W117" s="36">
        <v>0</v>
      </c>
      <c r="X117" s="35">
        <v>0</v>
      </c>
      <c r="Y117" s="36">
        <v>0</v>
      </c>
      <c r="Z117" s="35">
        <v>0</v>
      </c>
      <c r="AA117" s="36">
        <v>0</v>
      </c>
      <c r="AB117" s="36">
        <v>0</v>
      </c>
      <c r="AC117" s="35">
        <v>0</v>
      </c>
    </row>
    <row r="118" spans="1:29" x14ac:dyDescent="0.3">
      <c r="A118" s="27" t="s">
        <v>222</v>
      </c>
      <c r="B118" s="35">
        <v>0</v>
      </c>
      <c r="C118" s="34">
        <v>10</v>
      </c>
      <c r="D118" s="29">
        <v>14</v>
      </c>
      <c r="E118" s="36">
        <v>0</v>
      </c>
      <c r="F118" s="36">
        <v>0</v>
      </c>
      <c r="G118" s="35">
        <v>0</v>
      </c>
      <c r="H118" s="34">
        <v>40</v>
      </c>
      <c r="I118" s="35">
        <v>0</v>
      </c>
      <c r="J118" s="36">
        <v>0</v>
      </c>
      <c r="K118" s="36">
        <v>0</v>
      </c>
      <c r="L118" s="29">
        <v>40</v>
      </c>
      <c r="M118" s="36">
        <v>0</v>
      </c>
      <c r="N118" s="35">
        <v>0</v>
      </c>
      <c r="O118" s="35">
        <v>0</v>
      </c>
      <c r="P118" s="35">
        <v>0</v>
      </c>
      <c r="Q118" s="36">
        <v>0</v>
      </c>
      <c r="R118" s="35">
        <v>0</v>
      </c>
      <c r="S118" s="35">
        <v>0</v>
      </c>
      <c r="T118" s="36">
        <v>0</v>
      </c>
      <c r="U118" s="35">
        <v>0</v>
      </c>
      <c r="V118" s="36">
        <v>0</v>
      </c>
      <c r="W118" s="36">
        <v>0</v>
      </c>
      <c r="X118" s="35">
        <v>0</v>
      </c>
      <c r="Y118" s="36">
        <v>0</v>
      </c>
      <c r="Z118" s="35">
        <v>0</v>
      </c>
      <c r="AA118" s="36">
        <v>0</v>
      </c>
      <c r="AB118" s="36">
        <v>0</v>
      </c>
      <c r="AC118" s="35">
        <v>0</v>
      </c>
    </row>
    <row r="119" spans="1:29" x14ac:dyDescent="0.3">
      <c r="A119" s="27" t="s">
        <v>223</v>
      </c>
      <c r="B119" s="35">
        <v>0</v>
      </c>
      <c r="C119" s="36">
        <v>0</v>
      </c>
      <c r="D119" s="35">
        <v>0</v>
      </c>
      <c r="E119" s="34">
        <v>71</v>
      </c>
      <c r="F119" s="36">
        <v>0</v>
      </c>
      <c r="G119" s="35">
        <v>0</v>
      </c>
      <c r="H119" s="36">
        <v>0</v>
      </c>
      <c r="I119" s="35">
        <v>0</v>
      </c>
      <c r="J119" s="34">
        <v>20</v>
      </c>
      <c r="K119" s="34">
        <v>33</v>
      </c>
      <c r="L119" s="35">
        <v>0</v>
      </c>
      <c r="M119" s="34">
        <v>20</v>
      </c>
      <c r="N119" s="29">
        <v>50</v>
      </c>
      <c r="O119" s="29">
        <v>33</v>
      </c>
      <c r="P119" s="35">
        <v>0</v>
      </c>
      <c r="Q119" s="36">
        <v>0</v>
      </c>
      <c r="R119" s="29">
        <v>2</v>
      </c>
      <c r="S119" s="35">
        <v>0</v>
      </c>
      <c r="T119" s="36">
        <v>0</v>
      </c>
      <c r="U119" s="29">
        <v>109</v>
      </c>
      <c r="V119" s="34">
        <v>4</v>
      </c>
      <c r="W119" s="36">
        <v>0</v>
      </c>
      <c r="X119" s="29">
        <v>6</v>
      </c>
      <c r="Y119" s="36">
        <v>0</v>
      </c>
      <c r="Z119" s="29">
        <v>6</v>
      </c>
      <c r="AA119" s="36">
        <v>0</v>
      </c>
      <c r="AB119" s="34">
        <v>5</v>
      </c>
      <c r="AC119" s="29">
        <v>57</v>
      </c>
    </row>
    <row r="120" spans="1:29" x14ac:dyDescent="0.3">
      <c r="A120" s="27" t="s">
        <v>224</v>
      </c>
      <c r="B120" s="35">
        <v>0</v>
      </c>
      <c r="C120" s="36">
        <v>0</v>
      </c>
      <c r="D120" s="35">
        <v>0</v>
      </c>
      <c r="E120" s="36">
        <v>0</v>
      </c>
      <c r="F120" s="36">
        <v>0</v>
      </c>
      <c r="G120" s="35">
        <v>0</v>
      </c>
      <c r="H120" s="36">
        <v>0</v>
      </c>
      <c r="I120" s="29">
        <v>60</v>
      </c>
      <c r="J120" s="36">
        <v>0</v>
      </c>
      <c r="K120" s="36">
        <v>0</v>
      </c>
      <c r="L120" s="35">
        <v>0</v>
      </c>
      <c r="M120" s="36">
        <v>0</v>
      </c>
      <c r="N120" s="35">
        <v>0</v>
      </c>
      <c r="O120" s="35">
        <v>0</v>
      </c>
      <c r="P120" s="35">
        <v>0</v>
      </c>
      <c r="Q120" s="36">
        <v>0</v>
      </c>
      <c r="R120" s="35">
        <v>0</v>
      </c>
      <c r="S120" s="35">
        <v>0</v>
      </c>
      <c r="T120" s="36">
        <v>0</v>
      </c>
      <c r="U120" s="35">
        <v>0</v>
      </c>
      <c r="V120" s="36">
        <v>0</v>
      </c>
      <c r="W120" s="36">
        <v>0</v>
      </c>
      <c r="X120" s="35">
        <v>0</v>
      </c>
      <c r="Y120" s="36">
        <v>0</v>
      </c>
      <c r="Z120" s="35">
        <v>0</v>
      </c>
      <c r="AA120" s="36">
        <v>0</v>
      </c>
      <c r="AB120" s="36">
        <v>0</v>
      </c>
      <c r="AC120" s="35">
        <v>0</v>
      </c>
    </row>
    <row r="121" spans="1:29" x14ac:dyDescent="0.3">
      <c r="A121" s="27" t="s">
        <v>225</v>
      </c>
      <c r="B121" s="35">
        <v>0</v>
      </c>
      <c r="C121" s="36">
        <v>0</v>
      </c>
      <c r="D121" s="35">
        <v>0</v>
      </c>
      <c r="E121" s="34">
        <v>43</v>
      </c>
      <c r="F121" s="36">
        <v>0</v>
      </c>
      <c r="G121" s="35">
        <v>0</v>
      </c>
      <c r="H121" s="34">
        <v>40</v>
      </c>
      <c r="I121" s="35">
        <v>0</v>
      </c>
      <c r="J121" s="34">
        <v>80</v>
      </c>
      <c r="K121" s="36">
        <v>0</v>
      </c>
      <c r="L121" s="29">
        <v>160</v>
      </c>
      <c r="M121" s="34">
        <v>20</v>
      </c>
      <c r="N121" s="29">
        <v>13</v>
      </c>
      <c r="O121" s="35">
        <v>0</v>
      </c>
      <c r="P121" s="35">
        <v>0</v>
      </c>
      <c r="Q121" s="36">
        <v>0</v>
      </c>
      <c r="R121" s="35">
        <v>0</v>
      </c>
      <c r="S121" s="35">
        <v>0</v>
      </c>
      <c r="T121" s="36">
        <v>0</v>
      </c>
      <c r="U121" s="35">
        <v>0</v>
      </c>
      <c r="V121" s="36">
        <v>0</v>
      </c>
      <c r="W121" s="36">
        <v>0</v>
      </c>
      <c r="X121" s="35">
        <v>0</v>
      </c>
      <c r="Y121" s="36">
        <v>0</v>
      </c>
      <c r="Z121" s="35">
        <v>0</v>
      </c>
      <c r="AA121" s="36">
        <v>0</v>
      </c>
      <c r="AB121" s="36">
        <v>0</v>
      </c>
      <c r="AC121" s="29">
        <v>14</v>
      </c>
    </row>
    <row r="122" spans="1:29" x14ac:dyDescent="0.3">
      <c r="A122" s="27" t="s">
        <v>226</v>
      </c>
      <c r="B122" s="35">
        <v>0</v>
      </c>
      <c r="C122" s="36">
        <v>0</v>
      </c>
      <c r="D122" s="35">
        <v>0</v>
      </c>
      <c r="E122" s="36">
        <v>0</v>
      </c>
      <c r="F122" s="36">
        <v>0</v>
      </c>
      <c r="G122" s="35">
        <v>0</v>
      </c>
      <c r="H122" s="36">
        <v>0</v>
      </c>
      <c r="I122" s="35">
        <v>0</v>
      </c>
      <c r="J122" s="36">
        <v>0</v>
      </c>
      <c r="K122" s="36">
        <v>0</v>
      </c>
      <c r="L122" s="35">
        <v>0</v>
      </c>
      <c r="M122" s="36">
        <v>0</v>
      </c>
      <c r="N122" s="35">
        <v>0</v>
      </c>
      <c r="O122" s="35">
        <v>0</v>
      </c>
      <c r="P122" s="35">
        <v>0</v>
      </c>
      <c r="Q122" s="36">
        <v>0</v>
      </c>
      <c r="R122" s="35">
        <v>0</v>
      </c>
      <c r="S122" s="35">
        <v>0</v>
      </c>
      <c r="T122" s="36">
        <v>0</v>
      </c>
      <c r="U122" s="35">
        <v>0</v>
      </c>
      <c r="V122" s="36">
        <v>0</v>
      </c>
      <c r="W122" s="36">
        <v>0</v>
      </c>
      <c r="X122" s="29">
        <v>6</v>
      </c>
      <c r="Y122" s="36">
        <v>0</v>
      </c>
      <c r="Z122" s="35">
        <v>0</v>
      </c>
      <c r="AA122" s="36">
        <v>0</v>
      </c>
      <c r="AB122" s="36">
        <v>0</v>
      </c>
      <c r="AC122" s="35">
        <v>0</v>
      </c>
    </row>
    <row r="123" spans="1:29" x14ac:dyDescent="0.3">
      <c r="A123" s="27" t="s">
        <v>227</v>
      </c>
      <c r="B123" s="35">
        <v>0</v>
      </c>
      <c r="C123" s="36">
        <v>0</v>
      </c>
      <c r="D123" s="35">
        <v>0</v>
      </c>
      <c r="E123" s="36">
        <v>0</v>
      </c>
      <c r="F123" s="36">
        <v>0</v>
      </c>
      <c r="G123" s="35">
        <v>0</v>
      </c>
      <c r="H123" s="36">
        <v>0</v>
      </c>
      <c r="I123" s="35">
        <v>0</v>
      </c>
      <c r="J123" s="36">
        <v>0</v>
      </c>
      <c r="K123" s="36">
        <v>0</v>
      </c>
      <c r="L123" s="35">
        <v>0</v>
      </c>
      <c r="M123" s="36">
        <v>0</v>
      </c>
      <c r="N123" s="35">
        <v>0</v>
      </c>
      <c r="O123" s="35">
        <v>0</v>
      </c>
      <c r="P123" s="35">
        <v>0</v>
      </c>
      <c r="Q123" s="36">
        <v>0</v>
      </c>
      <c r="R123" s="35">
        <v>0</v>
      </c>
      <c r="S123" s="35">
        <v>0</v>
      </c>
      <c r="T123" s="36">
        <v>0</v>
      </c>
      <c r="U123" s="35">
        <v>0</v>
      </c>
      <c r="V123" s="36">
        <v>0</v>
      </c>
      <c r="W123" s="36">
        <v>0</v>
      </c>
      <c r="X123" s="35">
        <v>0</v>
      </c>
      <c r="Y123" s="36">
        <v>0</v>
      </c>
      <c r="Z123" s="35">
        <v>0</v>
      </c>
      <c r="AA123" s="36">
        <v>0</v>
      </c>
      <c r="AB123" s="36">
        <v>0</v>
      </c>
      <c r="AC123" s="35">
        <v>0</v>
      </c>
    </row>
    <row r="124" spans="1:29" x14ac:dyDescent="0.3">
      <c r="A124" s="21" t="s">
        <v>228</v>
      </c>
      <c r="B124" s="35">
        <v>0</v>
      </c>
      <c r="C124" s="36">
        <v>0</v>
      </c>
      <c r="D124" s="35">
        <v>0</v>
      </c>
      <c r="E124" s="36">
        <v>0</v>
      </c>
      <c r="F124" s="36">
        <v>0</v>
      </c>
      <c r="G124" s="35">
        <v>0</v>
      </c>
      <c r="H124" s="36">
        <v>0</v>
      </c>
      <c r="I124" s="35">
        <v>0</v>
      </c>
      <c r="J124" s="36">
        <v>0</v>
      </c>
      <c r="K124" s="36">
        <v>0</v>
      </c>
      <c r="L124" s="35">
        <v>0</v>
      </c>
      <c r="M124" s="36">
        <v>0</v>
      </c>
      <c r="N124" s="35">
        <v>0</v>
      </c>
      <c r="O124" s="35">
        <v>0</v>
      </c>
      <c r="P124" s="35">
        <v>0</v>
      </c>
      <c r="Q124" s="36">
        <v>0</v>
      </c>
      <c r="R124" s="35">
        <v>0</v>
      </c>
      <c r="S124" s="35">
        <v>0</v>
      </c>
      <c r="T124" s="36">
        <v>0</v>
      </c>
      <c r="U124" s="35">
        <v>0</v>
      </c>
      <c r="V124" s="36">
        <v>0</v>
      </c>
      <c r="W124" s="36">
        <v>0</v>
      </c>
      <c r="X124" s="35">
        <v>0</v>
      </c>
      <c r="Y124" s="36">
        <v>0</v>
      </c>
      <c r="Z124" s="35">
        <v>0</v>
      </c>
      <c r="AA124" s="36">
        <v>0</v>
      </c>
      <c r="AB124" s="36">
        <v>0</v>
      </c>
      <c r="AC124" s="35">
        <v>0</v>
      </c>
    </row>
    <row r="125" spans="1:29" x14ac:dyDescent="0.3">
      <c r="A125" s="27" t="s">
        <v>229</v>
      </c>
      <c r="B125" s="35">
        <v>0</v>
      </c>
      <c r="C125" s="36">
        <v>0</v>
      </c>
      <c r="D125" s="35">
        <v>0</v>
      </c>
      <c r="E125" s="34">
        <v>14</v>
      </c>
      <c r="F125" s="34">
        <v>40</v>
      </c>
      <c r="G125" s="35">
        <v>0</v>
      </c>
      <c r="H125" s="36">
        <v>0</v>
      </c>
      <c r="I125" s="35">
        <v>0</v>
      </c>
      <c r="J125" s="36">
        <v>0</v>
      </c>
      <c r="K125" s="36">
        <v>0</v>
      </c>
      <c r="L125" s="35">
        <v>0</v>
      </c>
      <c r="M125" s="34">
        <v>20</v>
      </c>
      <c r="N125" s="29">
        <v>38</v>
      </c>
      <c r="O125" s="29">
        <v>17</v>
      </c>
      <c r="P125" s="29">
        <v>27</v>
      </c>
      <c r="Q125" s="36">
        <v>0</v>
      </c>
      <c r="R125" s="35">
        <v>0</v>
      </c>
      <c r="S125" s="29">
        <v>41</v>
      </c>
      <c r="T125" s="34">
        <v>5</v>
      </c>
      <c r="U125" s="29">
        <v>64</v>
      </c>
      <c r="V125" s="34">
        <v>19</v>
      </c>
      <c r="W125" s="34">
        <v>70</v>
      </c>
      <c r="X125" s="29">
        <v>13</v>
      </c>
      <c r="Y125" s="34">
        <v>12</v>
      </c>
      <c r="Z125" s="29">
        <v>156</v>
      </c>
      <c r="AA125" s="34">
        <v>17</v>
      </c>
      <c r="AB125" s="34">
        <v>45</v>
      </c>
      <c r="AC125" s="29">
        <v>14</v>
      </c>
    </row>
    <row r="126" spans="1:29" x14ac:dyDescent="0.3">
      <c r="A126" s="21" t="s">
        <v>230</v>
      </c>
      <c r="B126" s="35">
        <v>0</v>
      </c>
      <c r="C126" s="36">
        <v>0</v>
      </c>
      <c r="D126" s="35">
        <v>0</v>
      </c>
      <c r="E126" s="36">
        <v>0</v>
      </c>
      <c r="F126" s="36">
        <v>0</v>
      </c>
      <c r="G126" s="35">
        <v>0</v>
      </c>
      <c r="H126" s="36">
        <v>0</v>
      </c>
      <c r="I126" s="35">
        <v>0</v>
      </c>
      <c r="J126" s="36">
        <v>0</v>
      </c>
      <c r="K126" s="36">
        <v>0</v>
      </c>
      <c r="L126" s="35">
        <v>0</v>
      </c>
      <c r="M126" s="36">
        <v>0</v>
      </c>
      <c r="N126" s="35">
        <v>0</v>
      </c>
      <c r="O126" s="35">
        <v>0</v>
      </c>
      <c r="P126" s="35">
        <v>0</v>
      </c>
      <c r="Q126" s="36">
        <v>0</v>
      </c>
      <c r="R126" s="35">
        <v>0</v>
      </c>
      <c r="S126" s="35">
        <v>0</v>
      </c>
      <c r="T126" s="36">
        <v>0</v>
      </c>
      <c r="U126" s="35">
        <v>0</v>
      </c>
      <c r="V126" s="36">
        <v>0</v>
      </c>
      <c r="W126" s="36">
        <v>0</v>
      </c>
      <c r="X126" s="35">
        <v>0</v>
      </c>
      <c r="Y126" s="36">
        <v>0</v>
      </c>
      <c r="Z126" s="35">
        <v>0</v>
      </c>
      <c r="AA126" s="36">
        <v>0</v>
      </c>
      <c r="AB126" s="36">
        <v>0</v>
      </c>
      <c r="AC126" s="35">
        <v>0</v>
      </c>
    </row>
    <row r="127" spans="1:29" x14ac:dyDescent="0.3">
      <c r="A127" s="27" t="s">
        <v>231</v>
      </c>
      <c r="B127" s="35">
        <v>0</v>
      </c>
      <c r="C127" s="36">
        <v>0</v>
      </c>
      <c r="D127" s="35">
        <v>0</v>
      </c>
      <c r="E127" s="36">
        <v>0</v>
      </c>
      <c r="F127" s="36">
        <v>0</v>
      </c>
      <c r="G127" s="35">
        <v>0</v>
      </c>
      <c r="H127" s="36">
        <v>0</v>
      </c>
      <c r="I127" s="35">
        <v>0</v>
      </c>
      <c r="J127" s="36">
        <v>0</v>
      </c>
      <c r="K127" s="36">
        <v>0</v>
      </c>
      <c r="L127" s="35">
        <v>0</v>
      </c>
      <c r="M127" s="36">
        <v>0</v>
      </c>
      <c r="N127" s="35">
        <v>0</v>
      </c>
      <c r="O127" s="35">
        <v>0</v>
      </c>
      <c r="P127" s="29">
        <v>9</v>
      </c>
      <c r="Q127" s="36">
        <v>0</v>
      </c>
      <c r="R127" s="35">
        <v>0</v>
      </c>
      <c r="S127" s="35">
        <v>0</v>
      </c>
      <c r="T127" s="36">
        <v>0</v>
      </c>
      <c r="U127" s="29">
        <v>9</v>
      </c>
      <c r="V127" s="36">
        <v>0</v>
      </c>
      <c r="W127" s="34">
        <v>5</v>
      </c>
      <c r="X127" s="35">
        <v>0</v>
      </c>
      <c r="Y127" s="36">
        <v>0</v>
      </c>
      <c r="Z127" s="35">
        <v>0</v>
      </c>
      <c r="AA127" s="36">
        <v>0</v>
      </c>
      <c r="AB127" s="34">
        <v>10</v>
      </c>
      <c r="AC127" s="35">
        <v>0</v>
      </c>
    </row>
    <row r="128" spans="1:29" x14ac:dyDescent="0.3">
      <c r="A128" s="27" t="s">
        <v>232</v>
      </c>
      <c r="B128" s="35">
        <v>0</v>
      </c>
      <c r="C128" s="36">
        <v>0</v>
      </c>
      <c r="D128" s="35">
        <v>0</v>
      </c>
      <c r="E128" s="36">
        <v>0</v>
      </c>
      <c r="F128" s="34">
        <v>20</v>
      </c>
      <c r="G128" s="35">
        <v>0</v>
      </c>
      <c r="H128" s="36">
        <v>0</v>
      </c>
      <c r="I128" s="35">
        <v>0</v>
      </c>
      <c r="J128" s="36">
        <v>0</v>
      </c>
      <c r="K128" s="36">
        <v>0</v>
      </c>
      <c r="L128" s="35">
        <v>0</v>
      </c>
      <c r="M128" s="36">
        <v>0</v>
      </c>
      <c r="N128" s="35">
        <v>0</v>
      </c>
      <c r="O128" s="35">
        <v>0</v>
      </c>
      <c r="P128" s="35">
        <v>0</v>
      </c>
      <c r="Q128" s="36">
        <v>0</v>
      </c>
      <c r="R128" s="35">
        <v>0</v>
      </c>
      <c r="S128" s="35">
        <v>0</v>
      </c>
      <c r="T128" s="36">
        <v>0</v>
      </c>
      <c r="U128" s="35">
        <v>0</v>
      </c>
      <c r="V128" s="36">
        <v>0</v>
      </c>
      <c r="W128" s="36">
        <v>0</v>
      </c>
      <c r="X128" s="35">
        <v>0</v>
      </c>
      <c r="Y128" s="36">
        <v>0</v>
      </c>
      <c r="Z128" s="35">
        <v>0</v>
      </c>
      <c r="AA128" s="36">
        <v>0</v>
      </c>
      <c r="AB128" s="36">
        <v>0</v>
      </c>
      <c r="AC128" s="35">
        <v>0</v>
      </c>
    </row>
    <row r="129" spans="1:29" x14ac:dyDescent="0.3">
      <c r="A129" s="27" t="s">
        <v>233</v>
      </c>
      <c r="B129" s="35">
        <v>0</v>
      </c>
      <c r="C129" s="36">
        <v>0</v>
      </c>
      <c r="D129" s="35">
        <v>0</v>
      </c>
      <c r="E129" s="36">
        <v>0</v>
      </c>
      <c r="F129" s="36">
        <v>0</v>
      </c>
      <c r="G129" s="35">
        <v>0</v>
      </c>
      <c r="H129" s="36">
        <v>0</v>
      </c>
      <c r="I129" s="35">
        <v>0</v>
      </c>
      <c r="J129" s="36">
        <v>0</v>
      </c>
      <c r="K129" s="36">
        <v>0</v>
      </c>
      <c r="L129" s="35">
        <v>0</v>
      </c>
      <c r="M129" s="34">
        <v>20</v>
      </c>
      <c r="N129" s="29">
        <v>13</v>
      </c>
      <c r="O129" s="35">
        <v>0</v>
      </c>
      <c r="P129" s="35">
        <v>0</v>
      </c>
      <c r="Q129" s="34">
        <v>1</v>
      </c>
      <c r="R129" s="35">
        <v>0</v>
      </c>
      <c r="S129" s="29">
        <v>11</v>
      </c>
      <c r="T129" s="36">
        <v>0</v>
      </c>
      <c r="U129" s="35">
        <v>0</v>
      </c>
      <c r="V129" s="34">
        <v>4</v>
      </c>
      <c r="W129" s="36">
        <v>0</v>
      </c>
      <c r="X129" s="35">
        <v>0</v>
      </c>
      <c r="Y129" s="34">
        <v>6</v>
      </c>
      <c r="Z129" s="35">
        <v>0</v>
      </c>
      <c r="AA129" s="36">
        <v>0</v>
      </c>
      <c r="AB129" s="34">
        <v>5</v>
      </c>
      <c r="AC129" s="35">
        <v>0</v>
      </c>
    </row>
    <row r="130" spans="1:29" x14ac:dyDescent="0.3">
      <c r="A130" s="21" t="s">
        <v>234</v>
      </c>
      <c r="B130" s="35">
        <v>0</v>
      </c>
      <c r="C130" s="36">
        <v>0</v>
      </c>
      <c r="D130" s="35">
        <v>0</v>
      </c>
      <c r="E130" s="36">
        <v>0</v>
      </c>
      <c r="F130" s="36">
        <v>0</v>
      </c>
      <c r="G130" s="35">
        <v>0</v>
      </c>
      <c r="H130" s="36">
        <v>0</v>
      </c>
      <c r="I130" s="35">
        <v>0</v>
      </c>
      <c r="J130" s="36">
        <v>0</v>
      </c>
      <c r="K130" s="36">
        <v>0</v>
      </c>
      <c r="L130" s="35">
        <v>0</v>
      </c>
      <c r="M130" s="36">
        <v>0</v>
      </c>
      <c r="N130" s="35">
        <v>0</v>
      </c>
      <c r="O130" s="35">
        <v>0</v>
      </c>
      <c r="P130" s="35">
        <v>0</v>
      </c>
      <c r="Q130" s="36">
        <v>0</v>
      </c>
      <c r="R130" s="35">
        <v>0</v>
      </c>
      <c r="S130" s="35">
        <v>0</v>
      </c>
      <c r="T130" s="34">
        <v>16</v>
      </c>
      <c r="U130" s="35">
        <v>0</v>
      </c>
      <c r="V130" s="36">
        <v>0</v>
      </c>
      <c r="W130" s="36">
        <v>0</v>
      </c>
      <c r="X130" s="35">
        <v>0</v>
      </c>
      <c r="Y130" s="36">
        <v>0</v>
      </c>
      <c r="Z130" s="35">
        <v>0</v>
      </c>
      <c r="AA130" s="36">
        <v>0</v>
      </c>
      <c r="AB130" s="36">
        <v>0</v>
      </c>
      <c r="AC130" s="35">
        <v>0</v>
      </c>
    </row>
    <row r="131" spans="1:29" x14ac:dyDescent="0.3">
      <c r="A131" s="27" t="s">
        <v>235</v>
      </c>
      <c r="B131" s="35">
        <v>0</v>
      </c>
      <c r="C131" s="36">
        <v>0</v>
      </c>
      <c r="D131" s="35">
        <v>0</v>
      </c>
      <c r="E131" s="36">
        <v>0</v>
      </c>
      <c r="F131" s="36">
        <v>0</v>
      </c>
      <c r="G131" s="35">
        <v>0</v>
      </c>
      <c r="H131" s="36">
        <v>0</v>
      </c>
      <c r="I131" s="35">
        <v>0</v>
      </c>
      <c r="J131" s="36">
        <v>0</v>
      </c>
      <c r="K131" s="36">
        <v>0</v>
      </c>
      <c r="L131" s="35">
        <v>0</v>
      </c>
      <c r="M131" s="36">
        <v>0</v>
      </c>
      <c r="N131" s="35">
        <v>0</v>
      </c>
      <c r="O131" s="35">
        <v>0</v>
      </c>
      <c r="P131" s="35">
        <v>0</v>
      </c>
      <c r="Q131" s="36">
        <v>0</v>
      </c>
      <c r="R131" s="35">
        <v>0</v>
      </c>
      <c r="S131" s="35">
        <v>0</v>
      </c>
      <c r="T131" s="36">
        <v>0</v>
      </c>
      <c r="U131" s="35">
        <v>0</v>
      </c>
      <c r="V131" s="36">
        <v>0</v>
      </c>
      <c r="W131" s="36">
        <v>0</v>
      </c>
      <c r="X131" s="35">
        <v>0</v>
      </c>
      <c r="Y131" s="36">
        <v>0</v>
      </c>
      <c r="Z131" s="35">
        <v>0</v>
      </c>
      <c r="AA131" s="36">
        <v>0</v>
      </c>
      <c r="AB131" s="36">
        <v>0</v>
      </c>
      <c r="AC131" s="35">
        <v>0</v>
      </c>
    </row>
    <row r="132" spans="1:29" x14ac:dyDescent="0.3">
      <c r="A132" s="27" t="s">
        <v>236</v>
      </c>
      <c r="B132" s="35">
        <v>0</v>
      </c>
      <c r="C132" s="36">
        <v>0</v>
      </c>
      <c r="D132" s="35">
        <v>0</v>
      </c>
      <c r="E132" s="36">
        <v>0</v>
      </c>
      <c r="F132" s="36">
        <v>0</v>
      </c>
      <c r="G132" s="35">
        <v>0</v>
      </c>
      <c r="H132" s="36">
        <v>0</v>
      </c>
      <c r="I132" s="35">
        <v>0</v>
      </c>
      <c r="J132" s="36">
        <v>0</v>
      </c>
      <c r="K132" s="36">
        <v>0</v>
      </c>
      <c r="L132" s="35">
        <v>0</v>
      </c>
      <c r="M132" s="36">
        <v>0</v>
      </c>
      <c r="N132" s="35">
        <v>0</v>
      </c>
      <c r="O132" s="35">
        <v>0</v>
      </c>
      <c r="P132" s="35">
        <v>0</v>
      </c>
      <c r="Q132" s="36">
        <v>0</v>
      </c>
      <c r="R132" s="35">
        <v>0</v>
      </c>
      <c r="S132" s="35">
        <v>0</v>
      </c>
      <c r="T132" s="36">
        <v>0</v>
      </c>
      <c r="U132" s="35">
        <v>0</v>
      </c>
      <c r="V132" s="36">
        <v>0</v>
      </c>
      <c r="W132" s="36">
        <v>0</v>
      </c>
      <c r="X132" s="35">
        <v>0</v>
      </c>
      <c r="Y132" s="36">
        <v>0</v>
      </c>
      <c r="Z132" s="35">
        <v>0</v>
      </c>
      <c r="AA132" s="36">
        <v>0</v>
      </c>
      <c r="AB132" s="36">
        <v>0</v>
      </c>
      <c r="AC132" s="35">
        <v>0</v>
      </c>
    </row>
    <row r="133" spans="1:29" x14ac:dyDescent="0.3">
      <c r="A133" s="27" t="s">
        <v>237</v>
      </c>
      <c r="B133" s="35">
        <v>0</v>
      </c>
      <c r="C133" s="36">
        <v>0</v>
      </c>
      <c r="D133" s="35">
        <v>0</v>
      </c>
      <c r="E133" s="36">
        <v>0</v>
      </c>
      <c r="F133" s="36">
        <v>0</v>
      </c>
      <c r="G133" s="35">
        <v>0</v>
      </c>
      <c r="H133" s="36">
        <v>0</v>
      </c>
      <c r="I133" s="35">
        <v>0</v>
      </c>
      <c r="J133" s="36">
        <v>0</v>
      </c>
      <c r="K133" s="36">
        <v>0</v>
      </c>
      <c r="L133" s="35">
        <v>0</v>
      </c>
      <c r="M133" s="36">
        <v>0</v>
      </c>
      <c r="N133" s="35">
        <v>0</v>
      </c>
      <c r="O133" s="35">
        <v>0</v>
      </c>
      <c r="P133" s="35">
        <v>0</v>
      </c>
      <c r="Q133" s="36">
        <v>0</v>
      </c>
      <c r="R133" s="35">
        <v>0</v>
      </c>
      <c r="S133" s="35">
        <v>0</v>
      </c>
      <c r="T133" s="36">
        <v>0</v>
      </c>
      <c r="U133" s="35">
        <v>0</v>
      </c>
      <c r="V133" s="36">
        <v>0</v>
      </c>
      <c r="W133" s="36">
        <v>0</v>
      </c>
      <c r="X133" s="35">
        <v>0</v>
      </c>
      <c r="Y133" s="36">
        <v>0</v>
      </c>
      <c r="Z133" s="35">
        <v>0</v>
      </c>
      <c r="AA133" s="36">
        <v>0</v>
      </c>
      <c r="AB133" s="36">
        <v>0</v>
      </c>
      <c r="AC133" s="35">
        <v>0</v>
      </c>
    </row>
    <row r="134" spans="1:29" x14ac:dyDescent="0.3">
      <c r="A134" s="21" t="s">
        <v>238</v>
      </c>
      <c r="B134" s="35">
        <v>0</v>
      </c>
      <c r="C134" s="36">
        <v>0</v>
      </c>
      <c r="D134" s="35">
        <v>0</v>
      </c>
      <c r="E134" s="36">
        <v>0</v>
      </c>
      <c r="F134" s="36">
        <v>0</v>
      </c>
      <c r="G134" s="35">
        <v>0</v>
      </c>
      <c r="H134" s="36">
        <v>0</v>
      </c>
      <c r="I134" s="35">
        <v>0</v>
      </c>
      <c r="J134" s="36">
        <v>0</v>
      </c>
      <c r="K134" s="36">
        <v>0</v>
      </c>
      <c r="L134" s="35">
        <v>0</v>
      </c>
      <c r="M134" s="34">
        <v>40</v>
      </c>
      <c r="N134" s="29">
        <v>25</v>
      </c>
      <c r="O134" s="35">
        <v>0</v>
      </c>
      <c r="P134" s="35">
        <v>0</v>
      </c>
      <c r="Q134" s="36">
        <v>0</v>
      </c>
      <c r="R134" s="35">
        <v>0</v>
      </c>
      <c r="S134" s="35">
        <v>0</v>
      </c>
      <c r="T134" s="36">
        <v>0</v>
      </c>
      <c r="U134" s="35">
        <v>0</v>
      </c>
      <c r="V134" s="36">
        <v>0</v>
      </c>
      <c r="W134" s="36">
        <v>0</v>
      </c>
      <c r="X134" s="35">
        <v>0</v>
      </c>
      <c r="Y134" s="36">
        <v>0</v>
      </c>
      <c r="Z134" s="35">
        <v>0</v>
      </c>
      <c r="AA134" s="36">
        <v>0</v>
      </c>
      <c r="AB134" s="36">
        <v>0</v>
      </c>
      <c r="AC134" s="35">
        <v>0</v>
      </c>
    </row>
    <row r="135" spans="1:29" x14ac:dyDescent="0.3">
      <c r="A135" s="27" t="s">
        <v>239</v>
      </c>
      <c r="B135" s="35">
        <v>0</v>
      </c>
      <c r="C135" s="36">
        <v>0</v>
      </c>
      <c r="D135" s="29">
        <v>57</v>
      </c>
      <c r="E135" s="34">
        <v>14</v>
      </c>
      <c r="F135" s="34">
        <v>80</v>
      </c>
      <c r="G135" s="35">
        <v>0</v>
      </c>
      <c r="H135" s="36">
        <v>0</v>
      </c>
      <c r="I135" s="35">
        <v>0</v>
      </c>
      <c r="J135" s="36">
        <v>0</v>
      </c>
      <c r="K135" s="36">
        <v>0</v>
      </c>
      <c r="L135" s="35">
        <v>0</v>
      </c>
      <c r="M135" s="34">
        <v>520</v>
      </c>
      <c r="N135" s="29">
        <v>275</v>
      </c>
      <c r="O135" s="29">
        <v>33</v>
      </c>
      <c r="P135" s="35">
        <v>0</v>
      </c>
      <c r="Q135" s="36">
        <v>0</v>
      </c>
      <c r="R135" s="35">
        <v>0</v>
      </c>
      <c r="S135" s="35">
        <v>0</v>
      </c>
      <c r="T135" s="36">
        <v>0</v>
      </c>
      <c r="U135" s="35">
        <v>0</v>
      </c>
      <c r="V135" s="36">
        <v>0</v>
      </c>
      <c r="W135" s="36">
        <v>0</v>
      </c>
      <c r="X135" s="35">
        <v>0</v>
      </c>
      <c r="Y135" s="36">
        <v>0</v>
      </c>
      <c r="Z135" s="35">
        <v>0</v>
      </c>
      <c r="AA135" s="36">
        <v>0</v>
      </c>
      <c r="AB135" s="36">
        <v>0</v>
      </c>
      <c r="AC135" s="35">
        <v>0</v>
      </c>
    </row>
    <row r="136" spans="1:29" x14ac:dyDescent="0.3">
      <c r="A136" s="27" t="s">
        <v>240</v>
      </c>
      <c r="B136" s="35">
        <v>0</v>
      </c>
      <c r="C136" s="36">
        <v>0</v>
      </c>
      <c r="D136" s="35">
        <v>0</v>
      </c>
      <c r="E136" s="36">
        <v>0</v>
      </c>
      <c r="F136" s="36">
        <v>0</v>
      </c>
      <c r="G136" s="35">
        <v>0</v>
      </c>
      <c r="H136" s="36">
        <v>0</v>
      </c>
      <c r="I136" s="35">
        <v>0</v>
      </c>
      <c r="J136" s="36">
        <v>0</v>
      </c>
      <c r="K136" s="36">
        <v>0</v>
      </c>
      <c r="L136" s="35">
        <v>0</v>
      </c>
      <c r="M136" s="36">
        <v>0</v>
      </c>
      <c r="N136" s="35">
        <v>0</v>
      </c>
      <c r="O136" s="35">
        <v>0</v>
      </c>
      <c r="P136" s="35">
        <v>0</v>
      </c>
      <c r="Q136" s="36">
        <v>0</v>
      </c>
      <c r="R136" s="35">
        <v>0</v>
      </c>
      <c r="S136" s="35">
        <v>0</v>
      </c>
      <c r="T136" s="36">
        <v>0</v>
      </c>
      <c r="U136" s="35">
        <v>0</v>
      </c>
      <c r="V136" s="36">
        <v>0</v>
      </c>
      <c r="W136" s="36">
        <v>0</v>
      </c>
      <c r="X136" s="35">
        <v>0</v>
      </c>
      <c r="Y136" s="36">
        <v>0</v>
      </c>
      <c r="Z136" s="35">
        <v>0</v>
      </c>
      <c r="AA136" s="36">
        <v>0</v>
      </c>
      <c r="AB136" s="36">
        <v>0</v>
      </c>
      <c r="AC136" s="35">
        <v>0</v>
      </c>
    </row>
    <row r="137" spans="1:29" x14ac:dyDescent="0.3">
      <c r="A137" s="21" t="s">
        <v>241</v>
      </c>
      <c r="B137" s="35">
        <v>0</v>
      </c>
      <c r="C137" s="36">
        <v>0</v>
      </c>
      <c r="D137" s="35">
        <v>0</v>
      </c>
      <c r="E137" s="36">
        <v>0</v>
      </c>
      <c r="F137" s="36">
        <v>0</v>
      </c>
      <c r="G137" s="35">
        <v>0</v>
      </c>
      <c r="H137" s="36">
        <v>0</v>
      </c>
      <c r="I137" s="35">
        <v>0</v>
      </c>
      <c r="J137" s="36">
        <v>0</v>
      </c>
      <c r="K137" s="36">
        <v>0</v>
      </c>
      <c r="L137" s="35">
        <v>0</v>
      </c>
      <c r="M137" s="36">
        <v>0</v>
      </c>
      <c r="N137" s="35">
        <v>0</v>
      </c>
      <c r="O137" s="35">
        <v>0</v>
      </c>
      <c r="P137" s="35">
        <v>0</v>
      </c>
      <c r="Q137" s="36">
        <v>0</v>
      </c>
      <c r="R137" s="35">
        <v>0</v>
      </c>
      <c r="S137" s="35">
        <v>0</v>
      </c>
      <c r="T137" s="36">
        <v>0</v>
      </c>
      <c r="U137" s="35">
        <v>0</v>
      </c>
      <c r="V137" s="36">
        <v>0</v>
      </c>
      <c r="W137" s="36">
        <v>0</v>
      </c>
      <c r="X137" s="35">
        <v>0</v>
      </c>
      <c r="Y137" s="36">
        <v>0</v>
      </c>
      <c r="Z137" s="35">
        <v>0</v>
      </c>
      <c r="AA137" s="36">
        <v>0</v>
      </c>
      <c r="AB137" s="36">
        <v>0</v>
      </c>
      <c r="AC137" s="35">
        <v>0</v>
      </c>
    </row>
    <row r="138" spans="1:29" x14ac:dyDescent="0.3">
      <c r="A138" s="27" t="s">
        <v>242</v>
      </c>
      <c r="B138" s="35">
        <v>0</v>
      </c>
      <c r="C138" s="36">
        <v>0</v>
      </c>
      <c r="D138" s="35">
        <v>0</v>
      </c>
      <c r="E138" s="36">
        <v>0</v>
      </c>
      <c r="F138" s="36">
        <v>0</v>
      </c>
      <c r="G138" s="35">
        <v>0</v>
      </c>
      <c r="H138" s="36">
        <v>0</v>
      </c>
      <c r="I138" s="35">
        <v>0</v>
      </c>
      <c r="J138" s="36">
        <v>0</v>
      </c>
      <c r="K138" s="36">
        <v>0</v>
      </c>
      <c r="L138" s="35">
        <v>0</v>
      </c>
      <c r="M138" s="36">
        <v>0</v>
      </c>
      <c r="N138" s="35">
        <v>0</v>
      </c>
      <c r="O138" s="35">
        <v>0</v>
      </c>
      <c r="P138" s="35">
        <v>0</v>
      </c>
      <c r="Q138" s="36">
        <v>0</v>
      </c>
      <c r="R138" s="35">
        <v>0</v>
      </c>
      <c r="S138" s="35">
        <v>0</v>
      </c>
      <c r="T138" s="36">
        <v>0</v>
      </c>
      <c r="U138" s="35">
        <v>0</v>
      </c>
      <c r="V138" s="36">
        <v>0</v>
      </c>
      <c r="W138" s="36">
        <v>0</v>
      </c>
      <c r="X138" s="35">
        <v>0</v>
      </c>
      <c r="Y138" s="36">
        <v>0</v>
      </c>
      <c r="Z138" s="35">
        <v>0</v>
      </c>
      <c r="AA138" s="36">
        <v>0</v>
      </c>
      <c r="AB138" s="36">
        <v>0</v>
      </c>
      <c r="AC138" s="35">
        <v>0</v>
      </c>
    </row>
    <row r="139" spans="1:29" x14ac:dyDescent="0.3">
      <c r="A139" s="21" t="s">
        <v>243</v>
      </c>
      <c r="B139" s="35">
        <v>0</v>
      </c>
      <c r="C139" s="36">
        <v>0</v>
      </c>
      <c r="D139" s="35">
        <v>0</v>
      </c>
      <c r="E139" s="36">
        <v>0</v>
      </c>
      <c r="F139" s="36">
        <v>0</v>
      </c>
      <c r="G139" s="35">
        <v>0</v>
      </c>
      <c r="H139" s="36">
        <v>0</v>
      </c>
      <c r="I139" s="35">
        <v>0</v>
      </c>
      <c r="J139" s="36">
        <v>0</v>
      </c>
      <c r="K139" s="36">
        <v>0</v>
      </c>
      <c r="L139" s="35">
        <v>0</v>
      </c>
      <c r="M139" s="36">
        <v>0</v>
      </c>
      <c r="N139" s="29">
        <v>25</v>
      </c>
      <c r="O139" s="35">
        <v>0</v>
      </c>
      <c r="P139" s="35">
        <v>0</v>
      </c>
      <c r="Q139" s="36">
        <v>0</v>
      </c>
      <c r="R139" s="35">
        <v>0</v>
      </c>
      <c r="S139" s="35">
        <v>0</v>
      </c>
      <c r="T139" s="36">
        <v>0</v>
      </c>
      <c r="U139" s="35">
        <v>0</v>
      </c>
      <c r="V139" s="36">
        <v>0</v>
      </c>
      <c r="W139" s="36">
        <v>0</v>
      </c>
      <c r="X139" s="35">
        <v>0</v>
      </c>
      <c r="Y139" s="36">
        <v>0</v>
      </c>
      <c r="Z139" s="35">
        <v>0</v>
      </c>
      <c r="AA139" s="36">
        <v>0</v>
      </c>
      <c r="AB139" s="36">
        <v>0</v>
      </c>
      <c r="AC139" s="35">
        <v>0</v>
      </c>
    </row>
    <row r="140" spans="1:29" x14ac:dyDescent="0.3">
      <c r="A140" s="27" t="s">
        <v>244</v>
      </c>
      <c r="B140" s="29">
        <v>89</v>
      </c>
      <c r="C140" s="36">
        <v>0</v>
      </c>
      <c r="D140" s="35">
        <v>0</v>
      </c>
      <c r="E140" s="36">
        <v>0</v>
      </c>
      <c r="F140" s="36">
        <v>0</v>
      </c>
      <c r="G140" s="35">
        <v>0</v>
      </c>
      <c r="H140" s="34">
        <v>20</v>
      </c>
      <c r="I140" s="35">
        <v>0</v>
      </c>
      <c r="J140" s="36">
        <v>0</v>
      </c>
      <c r="K140" s="36">
        <v>0</v>
      </c>
      <c r="L140" s="35">
        <v>0</v>
      </c>
      <c r="M140" s="34">
        <v>20</v>
      </c>
      <c r="N140" s="29">
        <v>75</v>
      </c>
      <c r="O140" s="35">
        <v>0</v>
      </c>
      <c r="P140" s="35">
        <v>0</v>
      </c>
      <c r="Q140" s="36">
        <v>0</v>
      </c>
      <c r="R140" s="35">
        <v>0</v>
      </c>
      <c r="S140" s="29">
        <v>4</v>
      </c>
      <c r="T140" s="34">
        <v>5</v>
      </c>
      <c r="U140" s="35">
        <v>0</v>
      </c>
      <c r="V140" s="34">
        <v>4</v>
      </c>
      <c r="W140" s="36">
        <v>0</v>
      </c>
      <c r="X140" s="35">
        <v>0</v>
      </c>
      <c r="Y140" s="36">
        <v>0</v>
      </c>
      <c r="Z140" s="29">
        <v>19</v>
      </c>
      <c r="AA140" s="34">
        <v>3</v>
      </c>
      <c r="AB140" s="36">
        <v>0</v>
      </c>
      <c r="AC140" s="35">
        <v>0</v>
      </c>
    </row>
    <row r="141" spans="1:29" x14ac:dyDescent="0.3">
      <c r="A141" s="21" t="s">
        <v>119</v>
      </c>
      <c r="B141" s="35">
        <v>0</v>
      </c>
      <c r="C141" s="36">
        <v>0</v>
      </c>
      <c r="D141" s="35">
        <v>0</v>
      </c>
      <c r="E141" s="36">
        <v>0</v>
      </c>
      <c r="F141" s="36">
        <v>0</v>
      </c>
      <c r="G141" s="35">
        <v>0</v>
      </c>
      <c r="H141" s="36">
        <v>0</v>
      </c>
      <c r="I141" s="35">
        <v>0</v>
      </c>
      <c r="J141" s="36">
        <v>0</v>
      </c>
      <c r="K141" s="36">
        <v>0</v>
      </c>
      <c r="L141" s="35">
        <v>0</v>
      </c>
      <c r="M141" s="36">
        <v>0</v>
      </c>
      <c r="N141" s="35">
        <v>0</v>
      </c>
      <c r="O141" s="35">
        <v>0</v>
      </c>
      <c r="P141" s="35">
        <v>0</v>
      </c>
      <c r="Q141" s="36">
        <v>0</v>
      </c>
      <c r="R141" s="35">
        <v>0</v>
      </c>
      <c r="S141" s="35">
        <v>0</v>
      </c>
      <c r="T141" s="36">
        <v>0</v>
      </c>
      <c r="U141" s="35">
        <v>0</v>
      </c>
      <c r="V141" s="36">
        <v>0</v>
      </c>
      <c r="W141" s="36">
        <v>0</v>
      </c>
      <c r="X141" s="35">
        <v>0</v>
      </c>
      <c r="Y141" s="36">
        <v>0</v>
      </c>
      <c r="Z141" s="35">
        <v>0</v>
      </c>
      <c r="AA141" s="36">
        <v>0</v>
      </c>
      <c r="AB141" s="36">
        <v>0</v>
      </c>
      <c r="AC141" s="35">
        <v>0</v>
      </c>
    </row>
    <row r="142" spans="1:29" x14ac:dyDescent="0.3">
      <c r="A142" s="21" t="s">
        <v>245</v>
      </c>
      <c r="B142" s="35">
        <v>0</v>
      </c>
      <c r="C142" s="36">
        <v>0</v>
      </c>
      <c r="D142" s="35">
        <v>0</v>
      </c>
      <c r="E142" s="36">
        <v>0</v>
      </c>
      <c r="F142" s="36">
        <v>0</v>
      </c>
      <c r="G142" s="35">
        <v>0</v>
      </c>
      <c r="H142" s="36">
        <v>0</v>
      </c>
      <c r="I142" s="35">
        <v>0</v>
      </c>
      <c r="J142" s="36">
        <v>0</v>
      </c>
      <c r="K142" s="36">
        <v>0</v>
      </c>
      <c r="L142" s="35">
        <v>0</v>
      </c>
      <c r="M142" s="36">
        <v>0</v>
      </c>
      <c r="N142" s="35">
        <v>0</v>
      </c>
      <c r="O142" s="35">
        <v>0</v>
      </c>
      <c r="P142" s="35">
        <v>0</v>
      </c>
      <c r="Q142" s="36">
        <v>0</v>
      </c>
      <c r="R142" s="35">
        <v>0</v>
      </c>
      <c r="S142" s="35">
        <v>0</v>
      </c>
      <c r="T142" s="36">
        <v>0</v>
      </c>
      <c r="U142" s="35">
        <v>0</v>
      </c>
      <c r="V142" s="36">
        <v>0</v>
      </c>
      <c r="W142" s="36">
        <v>0</v>
      </c>
      <c r="X142" s="35">
        <v>0</v>
      </c>
      <c r="Y142" s="36">
        <v>0</v>
      </c>
      <c r="Z142" s="35">
        <v>0</v>
      </c>
      <c r="AA142" s="36">
        <v>0</v>
      </c>
      <c r="AB142" s="36">
        <v>0</v>
      </c>
      <c r="AC142" s="35">
        <v>0</v>
      </c>
    </row>
    <row r="143" spans="1:29" x14ac:dyDescent="0.3">
      <c r="A143" s="21" t="s">
        <v>246</v>
      </c>
      <c r="B143" s="35">
        <v>0</v>
      </c>
      <c r="C143" s="36">
        <v>0</v>
      </c>
      <c r="D143" s="35">
        <v>0</v>
      </c>
      <c r="E143" s="36">
        <v>0</v>
      </c>
      <c r="F143" s="36">
        <v>0</v>
      </c>
      <c r="G143" s="35">
        <v>0</v>
      </c>
      <c r="H143" s="36">
        <v>0</v>
      </c>
      <c r="I143" s="35">
        <v>0</v>
      </c>
      <c r="J143" s="36">
        <v>0</v>
      </c>
      <c r="K143" s="36">
        <v>0</v>
      </c>
      <c r="L143" s="35">
        <v>0</v>
      </c>
      <c r="M143" s="36">
        <v>0</v>
      </c>
      <c r="N143" s="35">
        <v>0</v>
      </c>
      <c r="O143" s="35">
        <v>0</v>
      </c>
      <c r="P143" s="35">
        <v>0</v>
      </c>
      <c r="Q143" s="36">
        <v>0</v>
      </c>
      <c r="R143" s="35">
        <v>0</v>
      </c>
      <c r="S143" s="35">
        <v>0</v>
      </c>
      <c r="T143" s="36">
        <v>0</v>
      </c>
      <c r="U143" s="35">
        <v>0</v>
      </c>
      <c r="V143" s="36">
        <v>0</v>
      </c>
      <c r="W143" s="36">
        <v>0</v>
      </c>
      <c r="X143" s="35">
        <v>0</v>
      </c>
      <c r="Y143" s="36">
        <v>0</v>
      </c>
      <c r="Z143" s="35">
        <v>0</v>
      </c>
      <c r="AA143" s="36">
        <v>0</v>
      </c>
      <c r="AB143" s="36">
        <v>0</v>
      </c>
      <c r="AC143" s="35">
        <v>0</v>
      </c>
    </row>
    <row r="144" spans="1:29" x14ac:dyDescent="0.3">
      <c r="A144" s="27" t="s">
        <v>247</v>
      </c>
      <c r="B144" s="35">
        <v>0</v>
      </c>
      <c r="C144" s="36">
        <v>0</v>
      </c>
      <c r="D144" s="35">
        <v>0</v>
      </c>
      <c r="E144" s="36">
        <v>0</v>
      </c>
      <c r="F144" s="36">
        <v>0</v>
      </c>
      <c r="G144" s="35">
        <v>0</v>
      </c>
      <c r="H144" s="36">
        <v>0</v>
      </c>
      <c r="I144" s="35">
        <v>0</v>
      </c>
      <c r="J144" s="36">
        <v>0</v>
      </c>
      <c r="K144" s="36">
        <v>0</v>
      </c>
      <c r="L144" s="35">
        <v>0</v>
      </c>
      <c r="M144" s="36">
        <v>0</v>
      </c>
      <c r="N144" s="35">
        <v>0</v>
      </c>
      <c r="O144" s="35">
        <v>0</v>
      </c>
      <c r="P144" s="35">
        <v>0</v>
      </c>
      <c r="Q144" s="36">
        <v>0</v>
      </c>
      <c r="R144" s="35">
        <v>0</v>
      </c>
      <c r="S144" s="35">
        <v>0</v>
      </c>
      <c r="T144" s="36">
        <v>0</v>
      </c>
      <c r="U144" s="35">
        <v>0</v>
      </c>
      <c r="V144" s="36">
        <v>0</v>
      </c>
      <c r="W144" s="36">
        <v>0</v>
      </c>
      <c r="X144" s="35">
        <v>0</v>
      </c>
      <c r="Y144" s="36">
        <v>0</v>
      </c>
      <c r="Z144" s="35">
        <v>0</v>
      </c>
      <c r="AA144" s="36">
        <v>0</v>
      </c>
      <c r="AB144" s="36">
        <v>0</v>
      </c>
      <c r="AC144" s="35">
        <v>0</v>
      </c>
    </row>
    <row r="145" spans="1:29" x14ac:dyDescent="0.3">
      <c r="A145" s="27" t="s">
        <v>248</v>
      </c>
      <c r="B145" s="35">
        <v>0</v>
      </c>
      <c r="C145" s="36">
        <v>0</v>
      </c>
      <c r="D145" s="35">
        <v>0</v>
      </c>
      <c r="E145" s="36">
        <v>0</v>
      </c>
      <c r="F145" s="36">
        <v>0</v>
      </c>
      <c r="G145" s="35">
        <v>0</v>
      </c>
      <c r="H145" s="36">
        <v>0</v>
      </c>
      <c r="I145" s="35">
        <v>0</v>
      </c>
      <c r="J145" s="36">
        <v>0</v>
      </c>
      <c r="K145" s="36">
        <v>0</v>
      </c>
      <c r="L145" s="35">
        <v>0</v>
      </c>
      <c r="M145" s="36">
        <v>0</v>
      </c>
      <c r="N145" s="35">
        <v>0</v>
      </c>
      <c r="O145" s="35">
        <v>0</v>
      </c>
      <c r="P145" s="35">
        <v>0</v>
      </c>
      <c r="Q145" s="36">
        <v>0</v>
      </c>
      <c r="R145" s="35">
        <v>0</v>
      </c>
      <c r="S145" s="35">
        <v>0</v>
      </c>
      <c r="T145" s="36">
        <v>0</v>
      </c>
      <c r="U145" s="35">
        <v>0</v>
      </c>
      <c r="V145" s="34">
        <v>4</v>
      </c>
      <c r="W145" s="36">
        <v>0</v>
      </c>
      <c r="X145" s="35">
        <v>0</v>
      </c>
      <c r="Y145" s="36">
        <v>0</v>
      </c>
      <c r="Z145" s="29">
        <v>6</v>
      </c>
      <c r="AA145" s="36">
        <v>0</v>
      </c>
      <c r="AB145" s="36">
        <v>0</v>
      </c>
      <c r="AC145" s="35">
        <v>0</v>
      </c>
    </row>
    <row r="146" spans="1:29" x14ac:dyDescent="0.3">
      <c r="A146" s="21" t="s">
        <v>249</v>
      </c>
      <c r="B146" s="35">
        <v>0</v>
      </c>
      <c r="C146" s="36">
        <v>0</v>
      </c>
      <c r="D146" s="35">
        <v>0</v>
      </c>
      <c r="E146" s="36">
        <v>0</v>
      </c>
      <c r="F146" s="36">
        <v>0</v>
      </c>
      <c r="G146" s="35">
        <v>0</v>
      </c>
      <c r="H146" s="36">
        <v>0</v>
      </c>
      <c r="I146" s="35">
        <v>0</v>
      </c>
      <c r="J146" s="36">
        <v>0</v>
      </c>
      <c r="K146" s="36">
        <v>0</v>
      </c>
      <c r="L146" s="35">
        <v>0</v>
      </c>
      <c r="M146" s="36">
        <v>0</v>
      </c>
      <c r="N146" s="35">
        <v>0</v>
      </c>
      <c r="O146" s="35">
        <v>0</v>
      </c>
      <c r="P146" s="35">
        <v>0</v>
      </c>
      <c r="Q146" s="36">
        <v>0</v>
      </c>
      <c r="R146" s="35">
        <v>0</v>
      </c>
      <c r="S146" s="35">
        <v>0</v>
      </c>
      <c r="T146" s="36">
        <v>0</v>
      </c>
      <c r="U146" s="35">
        <v>0</v>
      </c>
      <c r="V146" s="36">
        <v>0</v>
      </c>
      <c r="W146" s="36">
        <v>0</v>
      </c>
      <c r="X146" s="35">
        <v>0</v>
      </c>
      <c r="Y146" s="36">
        <v>0</v>
      </c>
      <c r="Z146" s="35">
        <v>0</v>
      </c>
      <c r="AA146" s="36">
        <v>0</v>
      </c>
      <c r="AB146" s="36">
        <v>0</v>
      </c>
      <c r="AC146" s="35">
        <v>0</v>
      </c>
    </row>
    <row r="147" spans="1:29" x14ac:dyDescent="0.3">
      <c r="A147" s="27" t="s">
        <v>250</v>
      </c>
      <c r="B147" s="35">
        <v>0</v>
      </c>
      <c r="C147" s="36">
        <v>0</v>
      </c>
      <c r="D147" s="35">
        <v>0</v>
      </c>
      <c r="E147" s="36">
        <v>0</v>
      </c>
      <c r="F147" s="36">
        <v>0</v>
      </c>
      <c r="G147" s="35">
        <v>0</v>
      </c>
      <c r="H147" s="36">
        <v>0</v>
      </c>
      <c r="I147" s="35">
        <v>0</v>
      </c>
      <c r="J147" s="36">
        <v>0</v>
      </c>
      <c r="K147" s="36">
        <v>0</v>
      </c>
      <c r="L147" s="35">
        <v>0</v>
      </c>
      <c r="M147" s="36">
        <v>0</v>
      </c>
      <c r="N147" s="35">
        <v>0</v>
      </c>
      <c r="O147" s="35">
        <v>0</v>
      </c>
      <c r="P147" s="35">
        <v>0</v>
      </c>
      <c r="Q147" s="36">
        <v>0</v>
      </c>
      <c r="R147" s="35">
        <v>0</v>
      </c>
      <c r="S147" s="35">
        <v>0</v>
      </c>
      <c r="T147" s="36">
        <v>0</v>
      </c>
      <c r="U147" s="35">
        <v>0</v>
      </c>
      <c r="V147" s="36">
        <v>0</v>
      </c>
      <c r="W147" s="36">
        <v>0</v>
      </c>
      <c r="X147" s="35">
        <v>0</v>
      </c>
      <c r="Y147" s="36">
        <v>0</v>
      </c>
      <c r="Z147" s="35">
        <v>0</v>
      </c>
      <c r="AA147" s="36">
        <v>0</v>
      </c>
      <c r="AB147" s="36">
        <v>0</v>
      </c>
      <c r="AC147" s="35">
        <v>0</v>
      </c>
    </row>
    <row r="148" spans="1:29" x14ac:dyDescent="0.3">
      <c r="A148" s="27" t="s">
        <v>251</v>
      </c>
      <c r="B148" s="35">
        <v>0</v>
      </c>
      <c r="C148" s="36">
        <v>0</v>
      </c>
      <c r="D148" s="35">
        <v>0</v>
      </c>
      <c r="E148" s="36">
        <v>0</v>
      </c>
      <c r="F148" s="36">
        <v>0</v>
      </c>
      <c r="G148" s="35">
        <v>0</v>
      </c>
      <c r="H148" s="36">
        <v>0</v>
      </c>
      <c r="I148" s="35">
        <v>0</v>
      </c>
      <c r="J148" s="36">
        <v>0</v>
      </c>
      <c r="K148" s="36">
        <v>0</v>
      </c>
      <c r="L148" s="35">
        <v>0</v>
      </c>
      <c r="M148" s="36">
        <v>0</v>
      </c>
      <c r="N148" s="29">
        <v>38</v>
      </c>
      <c r="O148" s="35">
        <v>0</v>
      </c>
      <c r="P148" s="35">
        <v>0</v>
      </c>
      <c r="Q148" s="36">
        <v>0</v>
      </c>
      <c r="R148" s="35">
        <v>0</v>
      </c>
      <c r="S148" s="35">
        <v>0</v>
      </c>
      <c r="T148" s="36">
        <v>0</v>
      </c>
      <c r="U148" s="35">
        <v>0</v>
      </c>
      <c r="V148" s="36">
        <v>0</v>
      </c>
      <c r="W148" s="36">
        <v>0</v>
      </c>
      <c r="X148" s="35">
        <v>0</v>
      </c>
      <c r="Y148" s="36">
        <v>0</v>
      </c>
      <c r="Z148" s="35">
        <v>0</v>
      </c>
      <c r="AA148" s="36">
        <v>0</v>
      </c>
      <c r="AB148" s="36">
        <v>0</v>
      </c>
      <c r="AC148" s="35">
        <v>0</v>
      </c>
    </row>
    <row r="149" spans="1:29" x14ac:dyDescent="0.3">
      <c r="A149" s="21" t="s">
        <v>252</v>
      </c>
      <c r="B149" s="35">
        <v>0</v>
      </c>
      <c r="C149" s="36">
        <v>0</v>
      </c>
      <c r="D149" s="35">
        <v>0</v>
      </c>
      <c r="E149" s="36">
        <v>0</v>
      </c>
      <c r="F149" s="36">
        <v>0</v>
      </c>
      <c r="G149" s="35">
        <v>0</v>
      </c>
      <c r="H149" s="36">
        <v>0</v>
      </c>
      <c r="I149" s="35">
        <v>0</v>
      </c>
      <c r="J149" s="36">
        <v>0</v>
      </c>
      <c r="K149" s="36">
        <v>0</v>
      </c>
      <c r="L149" s="35">
        <v>0</v>
      </c>
      <c r="M149" s="36">
        <v>0</v>
      </c>
      <c r="N149" s="35">
        <v>0</v>
      </c>
      <c r="O149" s="35">
        <v>0</v>
      </c>
      <c r="P149" s="35">
        <v>0</v>
      </c>
      <c r="Q149" s="36">
        <v>0</v>
      </c>
      <c r="R149" s="35">
        <v>0</v>
      </c>
      <c r="S149" s="35">
        <v>0</v>
      </c>
      <c r="T149" s="36">
        <v>0</v>
      </c>
      <c r="U149" s="35">
        <v>0</v>
      </c>
      <c r="V149" s="36">
        <v>0</v>
      </c>
      <c r="W149" s="36">
        <v>0</v>
      </c>
      <c r="X149" s="35">
        <v>0</v>
      </c>
      <c r="Y149" s="36">
        <v>0</v>
      </c>
      <c r="Z149" s="35">
        <v>0</v>
      </c>
      <c r="AA149" s="36">
        <v>0</v>
      </c>
      <c r="AB149" s="36">
        <v>0</v>
      </c>
      <c r="AC149" s="35">
        <v>0</v>
      </c>
    </row>
    <row r="150" spans="1:29" x14ac:dyDescent="0.3">
      <c r="A150" s="27" t="s">
        <v>253</v>
      </c>
      <c r="B150" s="35">
        <v>0</v>
      </c>
      <c r="C150" s="36">
        <v>0</v>
      </c>
      <c r="D150" s="35">
        <v>0</v>
      </c>
      <c r="E150" s="36">
        <v>0</v>
      </c>
      <c r="F150" s="36">
        <v>0</v>
      </c>
      <c r="G150" s="35">
        <v>0</v>
      </c>
      <c r="H150" s="36">
        <v>0</v>
      </c>
      <c r="I150" s="35">
        <v>0</v>
      </c>
      <c r="J150" s="36">
        <v>0</v>
      </c>
      <c r="K150" s="36">
        <v>0</v>
      </c>
      <c r="L150" s="35">
        <v>0</v>
      </c>
      <c r="M150" s="34">
        <v>20</v>
      </c>
      <c r="N150" s="35">
        <v>0</v>
      </c>
      <c r="O150" s="35">
        <v>0</v>
      </c>
      <c r="P150" s="35">
        <v>0</v>
      </c>
      <c r="Q150" s="36">
        <v>0</v>
      </c>
      <c r="R150" s="35">
        <v>0</v>
      </c>
      <c r="S150" s="35">
        <v>0</v>
      </c>
      <c r="T150" s="36">
        <v>0</v>
      </c>
      <c r="U150" s="35">
        <v>0</v>
      </c>
      <c r="V150" s="36">
        <v>0</v>
      </c>
      <c r="W150" s="36">
        <v>0</v>
      </c>
      <c r="X150" s="35">
        <v>0</v>
      </c>
      <c r="Y150" s="36">
        <v>0</v>
      </c>
      <c r="Z150" s="35">
        <v>0</v>
      </c>
      <c r="AA150" s="36">
        <v>0</v>
      </c>
      <c r="AB150" s="36">
        <v>0</v>
      </c>
      <c r="AC150" s="35">
        <v>0</v>
      </c>
    </row>
    <row r="151" spans="1:29" x14ac:dyDescent="0.3">
      <c r="A151" s="21" t="s">
        <v>254</v>
      </c>
      <c r="B151" s="35">
        <v>0</v>
      </c>
      <c r="C151" s="36">
        <v>0</v>
      </c>
      <c r="D151" s="35">
        <v>0</v>
      </c>
      <c r="E151" s="36">
        <v>0</v>
      </c>
      <c r="F151" s="36">
        <v>0</v>
      </c>
      <c r="G151" s="35">
        <v>0</v>
      </c>
      <c r="H151" s="36">
        <v>0</v>
      </c>
      <c r="I151" s="35">
        <v>0</v>
      </c>
      <c r="J151" s="36">
        <v>0</v>
      </c>
      <c r="K151" s="36">
        <v>0</v>
      </c>
      <c r="L151" s="35">
        <v>0</v>
      </c>
      <c r="M151" s="36">
        <v>0</v>
      </c>
      <c r="N151" s="35">
        <v>0</v>
      </c>
      <c r="O151" s="35">
        <v>0</v>
      </c>
      <c r="P151" s="35">
        <v>0</v>
      </c>
      <c r="Q151" s="36">
        <v>0</v>
      </c>
      <c r="R151" s="35">
        <v>0</v>
      </c>
      <c r="S151" s="35">
        <v>0</v>
      </c>
      <c r="T151" s="36">
        <v>0</v>
      </c>
      <c r="U151" s="35">
        <v>0</v>
      </c>
      <c r="V151" s="36">
        <v>0</v>
      </c>
      <c r="W151" s="36">
        <v>0</v>
      </c>
      <c r="X151" s="35">
        <v>0</v>
      </c>
      <c r="Y151" s="36">
        <v>0</v>
      </c>
      <c r="Z151" s="35">
        <v>0</v>
      </c>
      <c r="AA151" s="36">
        <v>0</v>
      </c>
      <c r="AB151" s="36">
        <v>0</v>
      </c>
      <c r="AC151" s="35">
        <v>0</v>
      </c>
    </row>
    <row r="152" spans="1:29" x14ac:dyDescent="0.3">
      <c r="A152" s="27" t="s">
        <v>255</v>
      </c>
      <c r="B152" s="35">
        <v>0</v>
      </c>
      <c r="C152" s="34">
        <v>10</v>
      </c>
      <c r="D152" s="29">
        <v>14</v>
      </c>
      <c r="E152" s="36">
        <v>0</v>
      </c>
      <c r="F152" s="36">
        <v>0</v>
      </c>
      <c r="G152" s="35">
        <v>0</v>
      </c>
      <c r="H152" s="36">
        <v>0</v>
      </c>
      <c r="I152" s="35">
        <v>0</v>
      </c>
      <c r="J152" s="36">
        <v>0</v>
      </c>
      <c r="K152" s="36">
        <v>0</v>
      </c>
      <c r="L152" s="35">
        <v>0</v>
      </c>
      <c r="M152" s="36">
        <v>0</v>
      </c>
      <c r="N152" s="35">
        <v>0</v>
      </c>
      <c r="O152" s="35">
        <v>0</v>
      </c>
      <c r="P152" s="35">
        <v>0</v>
      </c>
      <c r="Q152" s="36">
        <v>0</v>
      </c>
      <c r="R152" s="35">
        <v>0</v>
      </c>
      <c r="S152" s="35">
        <v>0</v>
      </c>
      <c r="T152" s="36">
        <v>0</v>
      </c>
      <c r="U152" s="35">
        <v>0</v>
      </c>
      <c r="V152" s="36">
        <v>0</v>
      </c>
      <c r="W152" s="36">
        <v>0</v>
      </c>
      <c r="X152" s="35">
        <v>0</v>
      </c>
      <c r="Y152" s="36">
        <v>0</v>
      </c>
      <c r="Z152" s="35">
        <v>0</v>
      </c>
      <c r="AA152" s="36">
        <v>0</v>
      </c>
      <c r="AB152" s="36">
        <v>0</v>
      </c>
      <c r="AC152" s="35">
        <v>0</v>
      </c>
    </row>
    <row r="153" spans="1:29" x14ac:dyDescent="0.3">
      <c r="A153" s="21" t="s">
        <v>119</v>
      </c>
      <c r="B153" s="35">
        <v>0</v>
      </c>
      <c r="C153" s="36">
        <v>0</v>
      </c>
      <c r="D153" s="35">
        <v>0</v>
      </c>
      <c r="E153" s="36">
        <v>0</v>
      </c>
      <c r="F153" s="36">
        <v>0</v>
      </c>
      <c r="G153" s="35">
        <v>0</v>
      </c>
      <c r="H153" s="36">
        <v>0</v>
      </c>
      <c r="I153" s="35">
        <v>0</v>
      </c>
      <c r="J153" s="36">
        <v>0</v>
      </c>
      <c r="K153" s="36">
        <v>0</v>
      </c>
      <c r="L153" s="35">
        <v>0</v>
      </c>
      <c r="M153" s="36">
        <v>0</v>
      </c>
      <c r="N153" s="35">
        <v>0</v>
      </c>
      <c r="O153" s="35">
        <v>0</v>
      </c>
      <c r="P153" s="35">
        <v>0</v>
      </c>
      <c r="Q153" s="36">
        <v>0</v>
      </c>
      <c r="R153" s="35">
        <v>0</v>
      </c>
      <c r="S153" s="35">
        <v>0</v>
      </c>
      <c r="T153" s="36">
        <v>0</v>
      </c>
      <c r="U153" s="35">
        <v>0</v>
      </c>
      <c r="V153" s="36">
        <v>0</v>
      </c>
      <c r="W153" s="36">
        <v>0</v>
      </c>
      <c r="X153" s="35">
        <v>0</v>
      </c>
      <c r="Y153" s="36">
        <v>0</v>
      </c>
      <c r="Z153" s="35">
        <v>0</v>
      </c>
      <c r="AA153" s="36">
        <v>0</v>
      </c>
      <c r="AB153" s="36">
        <v>0</v>
      </c>
      <c r="AC153" s="35">
        <v>0</v>
      </c>
    </row>
    <row r="154" spans="1:29" x14ac:dyDescent="0.3">
      <c r="A154" s="21" t="s">
        <v>256</v>
      </c>
      <c r="B154" s="35">
        <v>0</v>
      </c>
      <c r="C154" s="36">
        <v>0</v>
      </c>
      <c r="D154" s="35">
        <v>0</v>
      </c>
      <c r="E154" s="36">
        <v>0</v>
      </c>
      <c r="F154" s="36">
        <v>0</v>
      </c>
      <c r="G154" s="35">
        <v>0</v>
      </c>
      <c r="H154" s="36">
        <v>0</v>
      </c>
      <c r="I154" s="35">
        <v>0</v>
      </c>
      <c r="J154" s="36">
        <v>0</v>
      </c>
      <c r="K154" s="36">
        <v>0</v>
      </c>
      <c r="L154" s="35">
        <v>0</v>
      </c>
      <c r="M154" s="36">
        <v>0</v>
      </c>
      <c r="N154" s="35">
        <v>0</v>
      </c>
      <c r="O154" s="35">
        <v>0</v>
      </c>
      <c r="P154" s="35">
        <v>0</v>
      </c>
      <c r="Q154" s="36">
        <v>0</v>
      </c>
      <c r="R154" s="35">
        <v>0</v>
      </c>
      <c r="S154" s="35">
        <v>0</v>
      </c>
      <c r="T154" s="36">
        <v>0</v>
      </c>
      <c r="U154" s="35">
        <v>0</v>
      </c>
      <c r="V154" s="36">
        <v>0</v>
      </c>
      <c r="W154" s="36">
        <v>0</v>
      </c>
      <c r="X154" s="35">
        <v>0</v>
      </c>
      <c r="Y154" s="36">
        <v>0</v>
      </c>
      <c r="Z154" s="35">
        <v>0</v>
      </c>
      <c r="AA154" s="36">
        <v>0</v>
      </c>
      <c r="AB154" s="36">
        <v>0</v>
      </c>
      <c r="AC154" s="35">
        <v>0</v>
      </c>
    </row>
    <row r="155" spans="1:29" x14ac:dyDescent="0.3">
      <c r="A155" s="21" t="s">
        <v>257</v>
      </c>
      <c r="B155" s="35">
        <v>0</v>
      </c>
      <c r="C155" s="36">
        <v>0</v>
      </c>
      <c r="D155" s="35">
        <v>0</v>
      </c>
      <c r="E155" s="36">
        <v>0</v>
      </c>
      <c r="F155" s="36">
        <v>0</v>
      </c>
      <c r="G155" s="35">
        <v>0</v>
      </c>
      <c r="H155" s="36">
        <v>0</v>
      </c>
      <c r="I155" s="35">
        <v>0</v>
      </c>
      <c r="J155" s="36">
        <v>0</v>
      </c>
      <c r="K155" s="36">
        <v>0</v>
      </c>
      <c r="L155" s="35">
        <v>0</v>
      </c>
      <c r="M155" s="36">
        <v>0</v>
      </c>
      <c r="N155" s="35">
        <v>0</v>
      </c>
      <c r="O155" s="35">
        <v>0</v>
      </c>
      <c r="P155" s="35">
        <v>0</v>
      </c>
      <c r="Q155" s="36">
        <v>0</v>
      </c>
      <c r="R155" s="35">
        <v>0</v>
      </c>
      <c r="S155" s="35">
        <v>0</v>
      </c>
      <c r="T155" s="36">
        <v>0</v>
      </c>
      <c r="U155" s="35">
        <v>0</v>
      </c>
      <c r="V155" s="36">
        <v>0</v>
      </c>
      <c r="W155" s="36">
        <v>0</v>
      </c>
      <c r="X155" s="29">
        <v>13</v>
      </c>
      <c r="Y155" s="36">
        <v>0</v>
      </c>
      <c r="Z155" s="35">
        <v>0</v>
      </c>
      <c r="AA155" s="36">
        <v>0</v>
      </c>
      <c r="AB155" s="36">
        <v>0</v>
      </c>
      <c r="AC155" s="35">
        <v>0</v>
      </c>
    </row>
    <row r="156" spans="1:29" x14ac:dyDescent="0.3">
      <c r="A156" s="27" t="s">
        <v>258</v>
      </c>
      <c r="B156" s="29">
        <v>44</v>
      </c>
      <c r="C156" s="34">
        <v>20</v>
      </c>
      <c r="D156" s="29">
        <v>29</v>
      </c>
      <c r="E156" s="34">
        <v>43</v>
      </c>
      <c r="F156" s="34">
        <v>40</v>
      </c>
      <c r="G156" s="29">
        <v>20</v>
      </c>
      <c r="H156" s="36">
        <v>0</v>
      </c>
      <c r="I156" s="35">
        <v>0</v>
      </c>
      <c r="J156" s="36">
        <v>0</v>
      </c>
      <c r="K156" s="36">
        <v>0</v>
      </c>
      <c r="L156" s="35">
        <v>0</v>
      </c>
      <c r="M156" s="36">
        <v>0</v>
      </c>
      <c r="N156" s="35">
        <v>0</v>
      </c>
      <c r="O156" s="35">
        <v>0</v>
      </c>
      <c r="P156" s="29">
        <v>14</v>
      </c>
      <c r="Q156" s="34">
        <v>1</v>
      </c>
      <c r="R156" s="29">
        <v>2</v>
      </c>
      <c r="S156" s="29">
        <v>37</v>
      </c>
      <c r="T156" s="34">
        <v>79</v>
      </c>
      <c r="U156" s="29">
        <v>73</v>
      </c>
      <c r="V156" s="34">
        <v>35</v>
      </c>
      <c r="W156" s="34">
        <v>35</v>
      </c>
      <c r="X156" s="29">
        <v>13</v>
      </c>
      <c r="Y156" s="34">
        <v>29</v>
      </c>
      <c r="Z156" s="29">
        <v>69</v>
      </c>
      <c r="AA156" s="36">
        <v>0</v>
      </c>
      <c r="AB156" s="34">
        <v>20</v>
      </c>
      <c r="AC156" s="29">
        <v>43</v>
      </c>
    </row>
    <row r="157" spans="1:29" x14ac:dyDescent="0.3">
      <c r="A157" s="21" t="s">
        <v>259</v>
      </c>
      <c r="B157" s="35">
        <v>0</v>
      </c>
      <c r="C157" s="36">
        <v>0</v>
      </c>
      <c r="D157" s="35">
        <v>0</v>
      </c>
      <c r="E157" s="36">
        <v>0</v>
      </c>
      <c r="F157" s="34">
        <v>20</v>
      </c>
      <c r="G157" s="35">
        <v>0</v>
      </c>
      <c r="H157" s="36">
        <v>0</v>
      </c>
      <c r="I157" s="35">
        <v>0</v>
      </c>
      <c r="J157" s="36">
        <v>0</v>
      </c>
      <c r="K157" s="36">
        <v>0</v>
      </c>
      <c r="L157" s="35">
        <v>0</v>
      </c>
      <c r="M157" s="36">
        <v>0</v>
      </c>
      <c r="N157" s="35">
        <v>0</v>
      </c>
      <c r="O157" s="35">
        <v>0</v>
      </c>
      <c r="P157" s="35">
        <v>0</v>
      </c>
      <c r="Q157" s="36">
        <v>0</v>
      </c>
      <c r="R157" s="35">
        <v>0</v>
      </c>
      <c r="S157" s="29">
        <v>33</v>
      </c>
      <c r="T157" s="36">
        <v>0</v>
      </c>
      <c r="U157" s="35">
        <v>0</v>
      </c>
      <c r="V157" s="36">
        <v>0</v>
      </c>
      <c r="W157" s="34">
        <v>5</v>
      </c>
      <c r="X157" s="29">
        <v>113</v>
      </c>
      <c r="Y157" s="36">
        <v>0</v>
      </c>
      <c r="Z157" s="35">
        <v>0</v>
      </c>
      <c r="AA157" s="36">
        <v>0</v>
      </c>
      <c r="AB157" s="36">
        <v>0</v>
      </c>
      <c r="AC157" s="35">
        <v>0</v>
      </c>
    </row>
    <row r="158" spans="1:29" x14ac:dyDescent="0.3">
      <c r="A158" s="27" t="s">
        <v>260</v>
      </c>
      <c r="B158" s="35">
        <v>0</v>
      </c>
      <c r="C158" s="36">
        <v>0</v>
      </c>
      <c r="D158" s="35">
        <v>0</v>
      </c>
      <c r="E158" s="36">
        <v>0</v>
      </c>
      <c r="F158" s="36">
        <v>0</v>
      </c>
      <c r="G158" s="35">
        <v>0</v>
      </c>
      <c r="H158" s="36">
        <v>0</v>
      </c>
      <c r="I158" s="35">
        <v>0</v>
      </c>
      <c r="J158" s="36">
        <v>0</v>
      </c>
      <c r="K158" s="36">
        <v>0</v>
      </c>
      <c r="L158" s="35">
        <v>0</v>
      </c>
      <c r="M158" s="36">
        <v>0</v>
      </c>
      <c r="N158" s="35">
        <v>0</v>
      </c>
      <c r="O158" s="35">
        <v>0</v>
      </c>
      <c r="P158" s="35">
        <v>0</v>
      </c>
      <c r="Q158" s="36">
        <v>0</v>
      </c>
      <c r="R158" s="35">
        <v>0</v>
      </c>
      <c r="S158" s="35">
        <v>0</v>
      </c>
      <c r="T158" s="36">
        <v>0</v>
      </c>
      <c r="U158" s="35">
        <v>0</v>
      </c>
      <c r="V158" s="36">
        <v>0</v>
      </c>
      <c r="W158" s="36">
        <v>0</v>
      </c>
      <c r="X158" s="35">
        <v>0</v>
      </c>
      <c r="Y158" s="36">
        <v>0</v>
      </c>
      <c r="Z158" s="35">
        <v>0</v>
      </c>
      <c r="AA158" s="36">
        <v>0</v>
      </c>
      <c r="AB158" s="36">
        <v>0</v>
      </c>
      <c r="AC158" s="35">
        <v>0</v>
      </c>
    </row>
    <row r="159" spans="1:29" x14ac:dyDescent="0.3">
      <c r="A159" s="27" t="s">
        <v>261</v>
      </c>
      <c r="B159" s="35">
        <v>0</v>
      </c>
      <c r="C159" s="36">
        <v>0</v>
      </c>
      <c r="D159" s="35">
        <v>0</v>
      </c>
      <c r="E159" s="36">
        <v>0</v>
      </c>
      <c r="F159" s="36">
        <v>0</v>
      </c>
      <c r="G159" s="35">
        <v>0</v>
      </c>
      <c r="H159" s="36">
        <v>0</v>
      </c>
      <c r="I159" s="35">
        <v>0</v>
      </c>
      <c r="J159" s="36">
        <v>0</v>
      </c>
      <c r="K159" s="36">
        <v>0</v>
      </c>
      <c r="L159" s="35">
        <v>0</v>
      </c>
      <c r="M159" s="36">
        <v>0</v>
      </c>
      <c r="N159" s="35">
        <v>0</v>
      </c>
      <c r="O159" s="35">
        <v>0</v>
      </c>
      <c r="P159" s="35">
        <v>0</v>
      </c>
      <c r="Q159" s="36">
        <v>0</v>
      </c>
      <c r="R159" s="29">
        <v>1</v>
      </c>
      <c r="S159" s="35">
        <v>0</v>
      </c>
      <c r="T159" s="36">
        <v>0</v>
      </c>
      <c r="U159" s="35">
        <v>0</v>
      </c>
      <c r="V159" s="36">
        <v>0</v>
      </c>
      <c r="W159" s="36">
        <v>0</v>
      </c>
      <c r="X159" s="35">
        <v>0</v>
      </c>
      <c r="Y159" s="36">
        <v>0</v>
      </c>
      <c r="Z159" s="35">
        <v>0</v>
      </c>
      <c r="AA159" s="36">
        <v>0</v>
      </c>
      <c r="AB159" s="36">
        <v>0</v>
      </c>
      <c r="AC159" s="35">
        <v>0</v>
      </c>
    </row>
    <row r="160" spans="1:29" x14ac:dyDescent="0.3">
      <c r="A160" s="27" t="s">
        <v>262</v>
      </c>
      <c r="B160" s="35">
        <v>0</v>
      </c>
      <c r="C160" s="36">
        <v>0</v>
      </c>
      <c r="D160" s="35">
        <v>0</v>
      </c>
      <c r="E160" s="36">
        <v>0</v>
      </c>
      <c r="F160" s="36">
        <v>0</v>
      </c>
      <c r="G160" s="35">
        <v>0</v>
      </c>
      <c r="H160" s="36">
        <v>0</v>
      </c>
      <c r="I160" s="35">
        <v>0</v>
      </c>
      <c r="J160" s="36">
        <v>0</v>
      </c>
      <c r="K160" s="36">
        <v>0</v>
      </c>
      <c r="L160" s="35">
        <v>0</v>
      </c>
      <c r="M160" s="36">
        <v>0</v>
      </c>
      <c r="N160" s="35">
        <v>0</v>
      </c>
      <c r="O160" s="35">
        <v>0</v>
      </c>
      <c r="P160" s="35">
        <v>0</v>
      </c>
      <c r="Q160" s="36">
        <v>0</v>
      </c>
      <c r="R160" s="35">
        <v>0</v>
      </c>
      <c r="S160" s="35">
        <v>0</v>
      </c>
      <c r="T160" s="36">
        <v>0</v>
      </c>
      <c r="U160" s="35">
        <v>0</v>
      </c>
      <c r="V160" s="36">
        <v>0</v>
      </c>
      <c r="W160" s="36">
        <v>0</v>
      </c>
      <c r="X160" s="35">
        <v>0</v>
      </c>
      <c r="Y160" s="36">
        <v>0</v>
      </c>
      <c r="Z160" s="35">
        <v>0</v>
      </c>
      <c r="AA160" s="36">
        <v>0</v>
      </c>
      <c r="AB160" s="36">
        <v>0</v>
      </c>
      <c r="AC160" s="35">
        <v>0</v>
      </c>
    </row>
    <row r="161" spans="1:29" x14ac:dyDescent="0.3">
      <c r="A161" s="27" t="s">
        <v>263</v>
      </c>
      <c r="B161" s="35">
        <v>0</v>
      </c>
      <c r="C161" s="36">
        <v>0</v>
      </c>
      <c r="D161" s="35">
        <v>0</v>
      </c>
      <c r="E161" s="36">
        <v>0</v>
      </c>
      <c r="F161" s="36">
        <v>0</v>
      </c>
      <c r="G161" s="35">
        <v>0</v>
      </c>
      <c r="H161" s="36">
        <v>0</v>
      </c>
      <c r="I161" s="35">
        <v>0</v>
      </c>
      <c r="J161" s="36">
        <v>0</v>
      </c>
      <c r="K161" s="36">
        <v>0</v>
      </c>
      <c r="L161" s="35">
        <v>0</v>
      </c>
      <c r="M161" s="36">
        <v>0</v>
      </c>
      <c r="N161" s="35">
        <v>0</v>
      </c>
      <c r="O161" s="35">
        <v>0</v>
      </c>
      <c r="P161" s="35">
        <v>0</v>
      </c>
      <c r="Q161" s="36">
        <v>0</v>
      </c>
      <c r="R161" s="35">
        <v>0</v>
      </c>
      <c r="S161" s="35">
        <v>0</v>
      </c>
      <c r="T161" s="36">
        <v>0</v>
      </c>
      <c r="U161" s="35">
        <v>0</v>
      </c>
      <c r="V161" s="36">
        <v>0</v>
      </c>
      <c r="W161" s="36">
        <v>0</v>
      </c>
      <c r="X161" s="35">
        <v>0</v>
      </c>
      <c r="Y161" s="36">
        <v>0</v>
      </c>
      <c r="Z161" s="35">
        <v>0</v>
      </c>
      <c r="AA161" s="36">
        <v>0</v>
      </c>
      <c r="AB161" s="36">
        <v>0</v>
      </c>
      <c r="AC161" s="35">
        <v>0</v>
      </c>
    </row>
    <row r="162" spans="1:29" x14ac:dyDescent="0.3">
      <c r="A162" s="27" t="s">
        <v>264</v>
      </c>
      <c r="B162" s="35">
        <v>0</v>
      </c>
      <c r="C162" s="34">
        <v>10</v>
      </c>
      <c r="D162" s="35">
        <v>0</v>
      </c>
      <c r="E162" s="34">
        <v>29</v>
      </c>
      <c r="F162" s="36">
        <v>0</v>
      </c>
      <c r="G162" s="29">
        <v>20</v>
      </c>
      <c r="H162" s="34">
        <v>80</v>
      </c>
      <c r="I162" s="29">
        <v>10</v>
      </c>
      <c r="J162" s="34">
        <v>20</v>
      </c>
      <c r="K162" s="34">
        <v>33</v>
      </c>
      <c r="L162" s="29">
        <v>40</v>
      </c>
      <c r="M162" s="36">
        <v>0</v>
      </c>
      <c r="N162" s="29">
        <v>88</v>
      </c>
      <c r="O162" s="29">
        <v>17</v>
      </c>
      <c r="P162" s="35">
        <v>0</v>
      </c>
      <c r="Q162" s="36">
        <v>0</v>
      </c>
      <c r="R162" s="29">
        <v>2</v>
      </c>
      <c r="S162" s="35">
        <v>0</v>
      </c>
      <c r="T162" s="36">
        <v>0</v>
      </c>
      <c r="U162" s="35">
        <v>0</v>
      </c>
      <c r="V162" s="36">
        <v>0</v>
      </c>
      <c r="W162" s="36">
        <v>0</v>
      </c>
      <c r="X162" s="35">
        <v>0</v>
      </c>
      <c r="Y162" s="36">
        <v>0</v>
      </c>
      <c r="Z162" s="35">
        <v>0</v>
      </c>
      <c r="AA162" s="36">
        <v>0</v>
      </c>
      <c r="AB162" s="36">
        <v>0</v>
      </c>
      <c r="AC162" s="35">
        <v>0</v>
      </c>
    </row>
    <row r="163" spans="1:29" x14ac:dyDescent="0.3">
      <c r="A163" s="27" t="s">
        <v>265</v>
      </c>
      <c r="B163" s="35">
        <v>0</v>
      </c>
      <c r="C163" s="36">
        <v>0</v>
      </c>
      <c r="D163" s="29">
        <v>14</v>
      </c>
      <c r="E163" s="36">
        <v>0</v>
      </c>
      <c r="F163" s="36">
        <v>0</v>
      </c>
      <c r="G163" s="35">
        <v>0</v>
      </c>
      <c r="H163" s="36">
        <v>0</v>
      </c>
      <c r="I163" s="35">
        <v>0</v>
      </c>
      <c r="J163" s="36">
        <v>0</v>
      </c>
      <c r="K163" s="34">
        <v>17</v>
      </c>
      <c r="L163" s="35">
        <v>0</v>
      </c>
      <c r="M163" s="36">
        <v>0</v>
      </c>
      <c r="N163" s="35">
        <v>0</v>
      </c>
      <c r="O163" s="35">
        <v>0</v>
      </c>
      <c r="P163" s="35">
        <v>0</v>
      </c>
      <c r="Q163" s="36">
        <v>0</v>
      </c>
      <c r="R163" s="35">
        <v>0</v>
      </c>
      <c r="S163" s="35">
        <v>0</v>
      </c>
      <c r="T163" s="36">
        <v>0</v>
      </c>
      <c r="U163" s="35">
        <v>0</v>
      </c>
      <c r="V163" s="36">
        <v>0</v>
      </c>
      <c r="W163" s="36">
        <v>0</v>
      </c>
      <c r="X163" s="35">
        <v>0</v>
      </c>
      <c r="Y163" s="36">
        <v>0</v>
      </c>
      <c r="Z163" s="35">
        <v>0</v>
      </c>
      <c r="AA163" s="36">
        <v>0</v>
      </c>
      <c r="AB163" s="36">
        <v>0</v>
      </c>
      <c r="AC163" s="35">
        <v>0</v>
      </c>
    </row>
    <row r="164" spans="1:29" x14ac:dyDescent="0.3">
      <c r="A164" s="21" t="s">
        <v>266</v>
      </c>
      <c r="B164" s="35">
        <v>0</v>
      </c>
      <c r="C164" s="36">
        <v>0</v>
      </c>
      <c r="D164" s="35">
        <v>0</v>
      </c>
      <c r="E164" s="36">
        <v>0</v>
      </c>
      <c r="F164" s="36">
        <v>0</v>
      </c>
      <c r="G164" s="35">
        <v>0</v>
      </c>
      <c r="H164" s="36">
        <v>0</v>
      </c>
      <c r="I164" s="35">
        <v>0</v>
      </c>
      <c r="J164" s="36">
        <v>0</v>
      </c>
      <c r="K164" s="36">
        <v>0</v>
      </c>
      <c r="L164" s="35">
        <v>0</v>
      </c>
      <c r="M164" s="36">
        <v>0</v>
      </c>
      <c r="N164" s="35">
        <v>0</v>
      </c>
      <c r="O164" s="35">
        <v>0</v>
      </c>
      <c r="P164" s="35">
        <v>0</v>
      </c>
      <c r="Q164" s="36">
        <v>0</v>
      </c>
      <c r="R164" s="29">
        <v>1</v>
      </c>
      <c r="S164" s="29">
        <v>7</v>
      </c>
      <c r="T164" s="34">
        <v>5</v>
      </c>
      <c r="U164" s="29">
        <v>82</v>
      </c>
      <c r="V164" s="36">
        <v>0</v>
      </c>
      <c r="W164" s="34">
        <v>25</v>
      </c>
      <c r="X164" s="35">
        <v>0</v>
      </c>
      <c r="Y164" s="34">
        <v>6</v>
      </c>
      <c r="Z164" s="29">
        <v>6</v>
      </c>
      <c r="AA164" s="34">
        <v>7</v>
      </c>
      <c r="AB164" s="34">
        <v>40</v>
      </c>
      <c r="AC164" s="29">
        <v>43</v>
      </c>
    </row>
    <row r="165" spans="1:29" x14ac:dyDescent="0.3">
      <c r="A165" s="21" t="s">
        <v>267</v>
      </c>
      <c r="B165" s="35">
        <v>0</v>
      </c>
      <c r="C165" s="36">
        <v>0</v>
      </c>
      <c r="D165" s="35">
        <v>0</v>
      </c>
      <c r="E165" s="36">
        <v>0</v>
      </c>
      <c r="F165" s="36">
        <v>0</v>
      </c>
      <c r="G165" s="35">
        <v>0</v>
      </c>
      <c r="H165" s="36">
        <v>0</v>
      </c>
      <c r="I165" s="35">
        <v>0</v>
      </c>
      <c r="J165" s="36">
        <v>0</v>
      </c>
      <c r="K165" s="36">
        <v>0</v>
      </c>
      <c r="L165" s="35">
        <v>0</v>
      </c>
      <c r="M165" s="36">
        <v>0</v>
      </c>
      <c r="N165" s="35">
        <v>0</v>
      </c>
      <c r="O165" s="35">
        <v>0</v>
      </c>
      <c r="P165" s="35">
        <v>0</v>
      </c>
      <c r="Q165" s="36">
        <v>0</v>
      </c>
      <c r="R165" s="35">
        <v>0</v>
      </c>
      <c r="S165" s="35">
        <v>0</v>
      </c>
      <c r="T165" s="36">
        <v>0</v>
      </c>
      <c r="U165" s="35">
        <v>0</v>
      </c>
      <c r="V165" s="36">
        <v>0</v>
      </c>
      <c r="W165" s="36">
        <v>0</v>
      </c>
      <c r="X165" s="35">
        <v>0</v>
      </c>
      <c r="Y165" s="36">
        <v>0</v>
      </c>
      <c r="Z165" s="35">
        <v>0</v>
      </c>
      <c r="AA165" s="36">
        <v>0</v>
      </c>
      <c r="AB165" s="36">
        <v>0</v>
      </c>
      <c r="AC165" s="35">
        <v>0</v>
      </c>
    </row>
    <row r="166" spans="1:29" x14ac:dyDescent="0.3">
      <c r="A166" s="21" t="s">
        <v>268</v>
      </c>
      <c r="B166" s="35">
        <v>0</v>
      </c>
      <c r="C166" s="36">
        <v>0</v>
      </c>
      <c r="D166" s="35">
        <v>0</v>
      </c>
      <c r="E166" s="36">
        <v>0</v>
      </c>
      <c r="F166" s="36">
        <v>0</v>
      </c>
      <c r="G166" s="35">
        <v>0</v>
      </c>
      <c r="H166" s="36">
        <v>0</v>
      </c>
      <c r="I166" s="35">
        <v>0</v>
      </c>
      <c r="J166" s="36">
        <v>0</v>
      </c>
      <c r="K166" s="36">
        <v>0</v>
      </c>
      <c r="L166" s="35">
        <v>0</v>
      </c>
      <c r="M166" s="36">
        <v>0</v>
      </c>
      <c r="N166" s="35">
        <v>0</v>
      </c>
      <c r="O166" s="35">
        <v>0</v>
      </c>
      <c r="P166" s="35">
        <v>0</v>
      </c>
      <c r="Q166" s="36">
        <v>0</v>
      </c>
      <c r="R166" s="35">
        <v>0</v>
      </c>
      <c r="S166" s="35">
        <v>0</v>
      </c>
      <c r="T166" s="36">
        <v>0</v>
      </c>
      <c r="U166" s="35">
        <v>0</v>
      </c>
      <c r="V166" s="36">
        <v>0</v>
      </c>
      <c r="W166" s="36">
        <v>0</v>
      </c>
      <c r="X166" s="35">
        <v>0</v>
      </c>
      <c r="Y166" s="36">
        <v>0</v>
      </c>
      <c r="Z166" s="35">
        <v>0</v>
      </c>
      <c r="AA166" s="36">
        <v>0</v>
      </c>
      <c r="AB166" s="36">
        <v>0</v>
      </c>
      <c r="AC166" s="35">
        <v>0</v>
      </c>
    </row>
    <row r="167" spans="1:29" x14ac:dyDescent="0.3">
      <c r="A167" s="27" t="s">
        <v>269</v>
      </c>
      <c r="B167" s="35">
        <v>0</v>
      </c>
      <c r="C167" s="36">
        <v>0</v>
      </c>
      <c r="D167" s="29">
        <v>14</v>
      </c>
      <c r="E167" s="36">
        <v>0</v>
      </c>
      <c r="F167" s="36">
        <v>0</v>
      </c>
      <c r="G167" s="35">
        <v>0</v>
      </c>
      <c r="H167" s="36">
        <v>0</v>
      </c>
      <c r="I167" s="35">
        <v>0</v>
      </c>
      <c r="J167" s="36">
        <v>0</v>
      </c>
      <c r="K167" s="36">
        <v>0</v>
      </c>
      <c r="L167" s="35">
        <v>0</v>
      </c>
      <c r="M167" s="36">
        <v>0</v>
      </c>
      <c r="N167" s="35">
        <v>0</v>
      </c>
      <c r="O167" s="35">
        <v>0</v>
      </c>
      <c r="P167" s="29">
        <v>50</v>
      </c>
      <c r="Q167" s="34">
        <v>9</v>
      </c>
      <c r="R167" s="35">
        <v>0</v>
      </c>
      <c r="S167" s="29">
        <v>4</v>
      </c>
      <c r="T167" s="36">
        <v>0</v>
      </c>
      <c r="U167" s="35">
        <v>0</v>
      </c>
      <c r="V167" s="36">
        <v>0</v>
      </c>
      <c r="W167" s="36">
        <v>0</v>
      </c>
      <c r="X167" s="35">
        <v>0</v>
      </c>
      <c r="Y167" s="36">
        <v>0</v>
      </c>
      <c r="Z167" s="35">
        <v>0</v>
      </c>
      <c r="AA167" s="36">
        <v>0</v>
      </c>
      <c r="AB167" s="34">
        <v>10</v>
      </c>
      <c r="AC167" s="35">
        <v>0</v>
      </c>
    </row>
    <row r="168" spans="1:29" x14ac:dyDescent="0.3">
      <c r="A168" s="27" t="s">
        <v>270</v>
      </c>
      <c r="B168" s="35">
        <v>0</v>
      </c>
      <c r="C168" s="36">
        <v>0</v>
      </c>
      <c r="D168" s="35">
        <v>0</v>
      </c>
      <c r="E168" s="36">
        <v>0</v>
      </c>
      <c r="F168" s="36">
        <v>0</v>
      </c>
      <c r="G168" s="35">
        <v>0</v>
      </c>
      <c r="H168" s="34">
        <v>20</v>
      </c>
      <c r="I168" s="35">
        <v>0</v>
      </c>
      <c r="J168" s="36">
        <v>0</v>
      </c>
      <c r="K168" s="34">
        <v>17</v>
      </c>
      <c r="L168" s="35">
        <v>0</v>
      </c>
      <c r="M168" s="36">
        <v>0</v>
      </c>
      <c r="N168" s="35">
        <v>0</v>
      </c>
      <c r="O168" s="35">
        <v>0</v>
      </c>
      <c r="P168" s="35">
        <v>0</v>
      </c>
      <c r="Q168" s="36">
        <v>0</v>
      </c>
      <c r="R168" s="35">
        <v>0</v>
      </c>
      <c r="S168" s="35">
        <v>0</v>
      </c>
      <c r="T168" s="36">
        <v>0</v>
      </c>
      <c r="U168" s="35">
        <v>0</v>
      </c>
      <c r="V168" s="36">
        <v>0</v>
      </c>
      <c r="W168" s="36">
        <v>0</v>
      </c>
      <c r="X168" s="35">
        <v>0</v>
      </c>
      <c r="Y168" s="36">
        <v>0</v>
      </c>
      <c r="Z168" s="35">
        <v>0</v>
      </c>
      <c r="AA168" s="36">
        <v>0</v>
      </c>
      <c r="AB168" s="36">
        <v>0</v>
      </c>
      <c r="AC168" s="35">
        <v>0</v>
      </c>
    </row>
    <row r="169" spans="1:29" x14ac:dyDescent="0.3">
      <c r="A169" s="27" t="s">
        <v>271</v>
      </c>
      <c r="B169" s="35">
        <v>0</v>
      </c>
      <c r="C169" s="36">
        <v>0</v>
      </c>
      <c r="D169" s="35">
        <v>0</v>
      </c>
      <c r="E169" s="36">
        <v>0</v>
      </c>
      <c r="F169" s="36">
        <v>0</v>
      </c>
      <c r="G169" s="35">
        <v>0</v>
      </c>
      <c r="H169" s="34">
        <v>120</v>
      </c>
      <c r="I169" s="35">
        <v>0</v>
      </c>
      <c r="J169" s="36">
        <v>0</v>
      </c>
      <c r="K169" s="36">
        <v>0</v>
      </c>
      <c r="L169" s="35">
        <v>0</v>
      </c>
      <c r="M169" s="36">
        <v>0</v>
      </c>
      <c r="N169" s="35">
        <v>0</v>
      </c>
      <c r="O169" s="35">
        <v>0</v>
      </c>
      <c r="P169" s="35">
        <v>0</v>
      </c>
      <c r="Q169" s="36">
        <v>0</v>
      </c>
      <c r="R169" s="35">
        <v>0</v>
      </c>
      <c r="S169" s="35">
        <v>0</v>
      </c>
      <c r="T169" s="36">
        <v>0</v>
      </c>
      <c r="U169" s="35">
        <v>0</v>
      </c>
      <c r="V169" s="36">
        <v>0</v>
      </c>
      <c r="W169" s="36">
        <v>0</v>
      </c>
      <c r="X169" s="35">
        <v>0</v>
      </c>
      <c r="Y169" s="36">
        <v>0</v>
      </c>
      <c r="Z169" s="35">
        <v>0</v>
      </c>
      <c r="AA169" s="36">
        <v>0</v>
      </c>
      <c r="AB169" s="36">
        <v>0</v>
      </c>
      <c r="AC169" s="35">
        <v>0</v>
      </c>
    </row>
    <row r="170" spans="1:29" x14ac:dyDescent="0.3">
      <c r="A170" s="27" t="s">
        <v>272</v>
      </c>
      <c r="B170" s="35">
        <v>0</v>
      </c>
      <c r="C170" s="36">
        <v>0</v>
      </c>
      <c r="D170" s="35">
        <v>0</v>
      </c>
      <c r="E170" s="36">
        <v>0</v>
      </c>
      <c r="F170" s="36">
        <v>0</v>
      </c>
      <c r="G170" s="35">
        <v>0</v>
      </c>
      <c r="H170" s="36">
        <v>0</v>
      </c>
      <c r="I170" s="35">
        <v>0</v>
      </c>
      <c r="J170" s="36">
        <v>0</v>
      </c>
      <c r="K170" s="36">
        <v>0</v>
      </c>
      <c r="L170" s="35">
        <v>0</v>
      </c>
      <c r="M170" s="36">
        <v>0</v>
      </c>
      <c r="N170" s="35">
        <v>0</v>
      </c>
      <c r="O170" s="35">
        <v>0</v>
      </c>
      <c r="P170" s="35">
        <v>0</v>
      </c>
      <c r="Q170" s="36">
        <v>0</v>
      </c>
      <c r="R170" s="35">
        <v>0</v>
      </c>
      <c r="S170" s="35">
        <v>0</v>
      </c>
      <c r="T170" s="36">
        <v>0</v>
      </c>
      <c r="U170" s="29">
        <v>9</v>
      </c>
      <c r="V170" s="36">
        <v>0</v>
      </c>
      <c r="W170" s="36">
        <v>0</v>
      </c>
      <c r="X170" s="35">
        <v>0</v>
      </c>
      <c r="Y170" s="36">
        <v>0</v>
      </c>
      <c r="Z170" s="35">
        <v>0</v>
      </c>
      <c r="AA170" s="36">
        <v>0</v>
      </c>
      <c r="AB170" s="36">
        <v>0</v>
      </c>
      <c r="AC170" s="29">
        <v>14</v>
      </c>
    </row>
    <row r="171" spans="1:29" x14ac:dyDescent="0.3">
      <c r="A171" s="27" t="s">
        <v>273</v>
      </c>
      <c r="B171" s="35">
        <v>0</v>
      </c>
      <c r="C171" s="36">
        <v>0</v>
      </c>
      <c r="D171" s="35">
        <v>0</v>
      </c>
      <c r="E171" s="36">
        <v>0</v>
      </c>
      <c r="F171" s="36">
        <v>0</v>
      </c>
      <c r="G171" s="35">
        <v>0</v>
      </c>
      <c r="H171" s="36">
        <v>0</v>
      </c>
      <c r="I171" s="35">
        <v>0</v>
      </c>
      <c r="J171" s="36">
        <v>0</v>
      </c>
      <c r="K171" s="36">
        <v>0</v>
      </c>
      <c r="L171" s="35">
        <v>0</v>
      </c>
      <c r="M171" s="36">
        <v>0</v>
      </c>
      <c r="N171" s="35">
        <v>0</v>
      </c>
      <c r="O171" s="35">
        <v>0</v>
      </c>
      <c r="P171" s="35">
        <v>0</v>
      </c>
      <c r="Q171" s="36">
        <v>0</v>
      </c>
      <c r="R171" s="35">
        <v>0</v>
      </c>
      <c r="S171" s="35">
        <v>0</v>
      </c>
      <c r="T171" s="36">
        <v>0</v>
      </c>
      <c r="U171" s="35">
        <v>0</v>
      </c>
      <c r="V171" s="36">
        <v>0</v>
      </c>
      <c r="W171" s="36">
        <v>0</v>
      </c>
      <c r="X171" s="35">
        <v>0</v>
      </c>
      <c r="Y171" s="36">
        <v>0</v>
      </c>
      <c r="Z171" s="35">
        <v>0</v>
      </c>
      <c r="AA171" s="36">
        <v>0</v>
      </c>
      <c r="AB171" s="36">
        <v>0</v>
      </c>
      <c r="AC171" s="35">
        <v>0</v>
      </c>
    </row>
    <row r="172" spans="1:29" x14ac:dyDescent="0.3">
      <c r="A172" s="27" t="s">
        <v>274</v>
      </c>
      <c r="B172" s="35">
        <v>0</v>
      </c>
      <c r="C172" s="36">
        <v>0</v>
      </c>
      <c r="D172" s="35">
        <v>0</v>
      </c>
      <c r="E172" s="36">
        <v>0</v>
      </c>
      <c r="F172" s="36">
        <v>0</v>
      </c>
      <c r="G172" s="35">
        <v>0</v>
      </c>
      <c r="H172" s="36">
        <v>0</v>
      </c>
      <c r="I172" s="35">
        <v>0</v>
      </c>
      <c r="J172" s="36">
        <v>0</v>
      </c>
      <c r="K172" s="36">
        <v>0</v>
      </c>
      <c r="L172" s="35">
        <v>0</v>
      </c>
      <c r="M172" s="36">
        <v>0</v>
      </c>
      <c r="N172" s="35">
        <v>0</v>
      </c>
      <c r="O172" s="35">
        <v>0</v>
      </c>
      <c r="P172" s="35">
        <v>0</v>
      </c>
      <c r="Q172" s="36">
        <v>0</v>
      </c>
      <c r="R172" s="35">
        <v>0</v>
      </c>
      <c r="S172" s="35">
        <v>0</v>
      </c>
      <c r="T172" s="36">
        <v>0</v>
      </c>
      <c r="U172" s="35">
        <v>0</v>
      </c>
      <c r="V172" s="36">
        <v>0</v>
      </c>
      <c r="W172" s="36">
        <v>0</v>
      </c>
      <c r="X172" s="35">
        <v>0</v>
      </c>
      <c r="Y172" s="36">
        <v>0</v>
      </c>
      <c r="Z172" s="35">
        <v>0</v>
      </c>
      <c r="AA172" s="36">
        <v>0</v>
      </c>
      <c r="AB172" s="34">
        <v>25</v>
      </c>
      <c r="AC172" s="35">
        <v>0</v>
      </c>
    </row>
    <row r="173" spans="1:29" x14ac:dyDescent="0.3">
      <c r="A173" s="27" t="s">
        <v>275</v>
      </c>
      <c r="B173" s="35">
        <v>0</v>
      </c>
      <c r="C173" s="34">
        <v>110</v>
      </c>
      <c r="D173" s="29">
        <v>43</v>
      </c>
      <c r="E173" s="36">
        <v>0</v>
      </c>
      <c r="F173" s="36">
        <v>0</v>
      </c>
      <c r="G173" s="29">
        <v>20</v>
      </c>
      <c r="H173" s="34">
        <v>660</v>
      </c>
      <c r="I173" s="29">
        <v>130</v>
      </c>
      <c r="J173" s="36">
        <v>0</v>
      </c>
      <c r="K173" s="34">
        <v>150</v>
      </c>
      <c r="L173" s="29">
        <v>300</v>
      </c>
      <c r="M173" s="34">
        <v>60</v>
      </c>
      <c r="N173" s="35">
        <v>0</v>
      </c>
      <c r="O173" s="29">
        <v>450</v>
      </c>
      <c r="P173" s="35">
        <v>0</v>
      </c>
      <c r="Q173" s="34">
        <v>8</v>
      </c>
      <c r="R173" s="35">
        <v>0</v>
      </c>
      <c r="S173" s="29">
        <v>4</v>
      </c>
      <c r="T173" s="34">
        <v>32</v>
      </c>
      <c r="U173" s="29">
        <v>9</v>
      </c>
      <c r="V173" s="36">
        <v>0</v>
      </c>
      <c r="W173" s="36">
        <v>0</v>
      </c>
      <c r="X173" s="29">
        <v>6</v>
      </c>
      <c r="Y173" s="36">
        <v>0</v>
      </c>
      <c r="Z173" s="29">
        <v>6</v>
      </c>
      <c r="AA173" s="36">
        <v>0</v>
      </c>
      <c r="AB173" s="34">
        <v>45</v>
      </c>
      <c r="AC173" s="29">
        <v>7</v>
      </c>
    </row>
    <row r="174" spans="1:29" x14ac:dyDescent="0.3">
      <c r="A174" s="27" t="s">
        <v>276</v>
      </c>
      <c r="B174" s="35">
        <v>0</v>
      </c>
      <c r="C174" s="36">
        <v>0</v>
      </c>
      <c r="D174" s="35">
        <v>0</v>
      </c>
      <c r="E174" s="36">
        <v>0</v>
      </c>
      <c r="F174" s="36">
        <v>0</v>
      </c>
      <c r="G174" s="35">
        <v>0</v>
      </c>
      <c r="H174" s="36">
        <v>0</v>
      </c>
      <c r="I174" s="35">
        <v>0</v>
      </c>
      <c r="J174" s="36">
        <v>0</v>
      </c>
      <c r="K174" s="36">
        <v>0</v>
      </c>
      <c r="L174" s="35">
        <v>0</v>
      </c>
      <c r="M174" s="36">
        <v>0</v>
      </c>
      <c r="N174" s="35">
        <v>0</v>
      </c>
      <c r="O174" s="35">
        <v>0</v>
      </c>
      <c r="P174" s="35">
        <v>0</v>
      </c>
      <c r="Q174" s="36">
        <v>0</v>
      </c>
      <c r="R174" s="35">
        <v>0</v>
      </c>
      <c r="S174" s="35">
        <v>0</v>
      </c>
      <c r="T174" s="36">
        <v>0</v>
      </c>
      <c r="U174" s="35">
        <v>0</v>
      </c>
      <c r="V174" s="36">
        <v>0</v>
      </c>
      <c r="W174" s="36">
        <v>0</v>
      </c>
      <c r="X174" s="35">
        <v>0</v>
      </c>
      <c r="Y174" s="36">
        <v>0</v>
      </c>
      <c r="Z174" s="35">
        <v>0</v>
      </c>
      <c r="AA174" s="36">
        <v>0</v>
      </c>
      <c r="AB174" s="36">
        <v>0</v>
      </c>
      <c r="AC174" s="35">
        <v>0</v>
      </c>
    </row>
    <row r="175" spans="1:29" x14ac:dyDescent="0.3">
      <c r="A175" s="27" t="s">
        <v>277</v>
      </c>
      <c r="B175" s="35">
        <v>0</v>
      </c>
      <c r="C175" s="36">
        <v>0</v>
      </c>
      <c r="D175" s="35">
        <v>0</v>
      </c>
      <c r="E175" s="36">
        <v>0</v>
      </c>
      <c r="F175" s="36">
        <v>0</v>
      </c>
      <c r="G175" s="35">
        <v>0</v>
      </c>
      <c r="H175" s="36">
        <v>0</v>
      </c>
      <c r="I175" s="35">
        <v>0</v>
      </c>
      <c r="J175" s="36">
        <v>0</v>
      </c>
      <c r="K175" s="36">
        <v>0</v>
      </c>
      <c r="L175" s="35">
        <v>0</v>
      </c>
      <c r="M175" s="36">
        <v>0</v>
      </c>
      <c r="N175" s="35">
        <v>0</v>
      </c>
      <c r="O175" s="35">
        <v>0</v>
      </c>
      <c r="P175" s="29">
        <v>5</v>
      </c>
      <c r="Q175" s="36">
        <v>0</v>
      </c>
      <c r="R175" s="35">
        <v>0</v>
      </c>
      <c r="S175" s="35">
        <v>0</v>
      </c>
      <c r="T175" s="36">
        <v>0</v>
      </c>
      <c r="U175" s="35">
        <v>0</v>
      </c>
      <c r="V175" s="36">
        <v>0</v>
      </c>
      <c r="W175" s="36">
        <v>0</v>
      </c>
      <c r="X175" s="35">
        <v>0</v>
      </c>
      <c r="Y175" s="36">
        <v>0</v>
      </c>
      <c r="Z175" s="35">
        <v>0</v>
      </c>
      <c r="AA175" s="36">
        <v>0</v>
      </c>
      <c r="AB175" s="36">
        <v>0</v>
      </c>
      <c r="AC175" s="35">
        <v>0</v>
      </c>
    </row>
    <row r="176" spans="1:29" x14ac:dyDescent="0.3">
      <c r="A176" s="27" t="s">
        <v>278</v>
      </c>
      <c r="B176" s="35">
        <v>0</v>
      </c>
      <c r="C176" s="36">
        <v>0</v>
      </c>
      <c r="D176" s="35">
        <v>0</v>
      </c>
      <c r="E176" s="36">
        <v>0</v>
      </c>
      <c r="F176" s="36">
        <v>0</v>
      </c>
      <c r="G176" s="35">
        <v>0</v>
      </c>
      <c r="H176" s="36">
        <v>0</v>
      </c>
      <c r="I176" s="35">
        <v>0</v>
      </c>
      <c r="J176" s="36">
        <v>0</v>
      </c>
      <c r="K176" s="36">
        <v>0</v>
      </c>
      <c r="L176" s="35">
        <v>0</v>
      </c>
      <c r="M176" s="36">
        <v>0</v>
      </c>
      <c r="N176" s="35">
        <v>0</v>
      </c>
      <c r="O176" s="35">
        <v>0</v>
      </c>
      <c r="P176" s="35">
        <v>0</v>
      </c>
      <c r="Q176" s="36">
        <v>0</v>
      </c>
      <c r="R176" s="35">
        <v>0</v>
      </c>
      <c r="S176" s="35">
        <v>0</v>
      </c>
      <c r="T176" s="36">
        <v>0</v>
      </c>
      <c r="U176" s="35">
        <v>0</v>
      </c>
      <c r="V176" s="36">
        <v>0</v>
      </c>
      <c r="W176" s="34">
        <v>5</v>
      </c>
      <c r="X176" s="35">
        <v>0</v>
      </c>
      <c r="Y176" s="36">
        <v>0</v>
      </c>
      <c r="Z176" s="35">
        <v>0</v>
      </c>
      <c r="AA176" s="36">
        <v>0</v>
      </c>
      <c r="AB176" s="36">
        <v>0</v>
      </c>
      <c r="AC176" s="35">
        <v>0</v>
      </c>
    </row>
    <row r="177" spans="1:29" x14ac:dyDescent="0.3">
      <c r="A177" s="27" t="s">
        <v>279</v>
      </c>
      <c r="B177" s="35">
        <v>0</v>
      </c>
      <c r="C177" s="36">
        <v>0</v>
      </c>
      <c r="D177" s="35">
        <v>0</v>
      </c>
      <c r="E177" s="36">
        <v>0</v>
      </c>
      <c r="F177" s="36">
        <v>0</v>
      </c>
      <c r="G177" s="35">
        <v>0</v>
      </c>
      <c r="H177" s="36">
        <v>0</v>
      </c>
      <c r="I177" s="35">
        <v>0</v>
      </c>
      <c r="J177" s="36">
        <v>0</v>
      </c>
      <c r="K177" s="36">
        <v>0</v>
      </c>
      <c r="L177" s="35">
        <v>0</v>
      </c>
      <c r="M177" s="36">
        <v>0</v>
      </c>
      <c r="N177" s="35">
        <v>0</v>
      </c>
      <c r="O177" s="35">
        <v>0</v>
      </c>
      <c r="P177" s="35">
        <v>0</v>
      </c>
      <c r="Q177" s="36">
        <v>0</v>
      </c>
      <c r="R177" s="35">
        <v>0</v>
      </c>
      <c r="S177" s="35">
        <v>0</v>
      </c>
      <c r="T177" s="36">
        <v>0</v>
      </c>
      <c r="U177" s="35">
        <v>0</v>
      </c>
      <c r="V177" s="36">
        <v>0</v>
      </c>
      <c r="W177" s="36">
        <v>0</v>
      </c>
      <c r="X177" s="35">
        <v>0</v>
      </c>
      <c r="Y177" s="36">
        <v>0</v>
      </c>
      <c r="Z177" s="35">
        <v>0</v>
      </c>
      <c r="AA177" s="36">
        <v>0</v>
      </c>
      <c r="AB177" s="34">
        <v>5</v>
      </c>
      <c r="AC177" s="35">
        <v>0</v>
      </c>
    </row>
    <row r="178" spans="1:29" x14ac:dyDescent="0.3">
      <c r="A178" s="27" t="s">
        <v>280</v>
      </c>
      <c r="B178" s="35">
        <v>0</v>
      </c>
      <c r="C178" s="36">
        <v>0</v>
      </c>
      <c r="D178" s="29">
        <v>100</v>
      </c>
      <c r="E178" s="34">
        <v>86</v>
      </c>
      <c r="F178" s="34">
        <v>700</v>
      </c>
      <c r="G178" s="35">
        <v>0</v>
      </c>
      <c r="H178" s="36">
        <v>0</v>
      </c>
      <c r="I178" s="35">
        <v>0</v>
      </c>
      <c r="J178" s="34">
        <v>40</v>
      </c>
      <c r="K178" s="36">
        <v>0</v>
      </c>
      <c r="L178" s="35">
        <v>0</v>
      </c>
      <c r="M178" s="36">
        <v>0</v>
      </c>
      <c r="N178" s="35">
        <v>0</v>
      </c>
      <c r="O178" s="35">
        <v>0</v>
      </c>
      <c r="P178" s="29">
        <v>59</v>
      </c>
      <c r="Q178" s="36">
        <v>0</v>
      </c>
      <c r="R178" s="35">
        <v>0</v>
      </c>
      <c r="S178" s="35">
        <v>0</v>
      </c>
      <c r="T178" s="36">
        <v>0</v>
      </c>
      <c r="U178" s="35">
        <v>0</v>
      </c>
      <c r="V178" s="36">
        <v>0</v>
      </c>
      <c r="W178" s="36">
        <v>0</v>
      </c>
      <c r="X178" s="35">
        <v>0</v>
      </c>
      <c r="Y178" s="36">
        <v>0</v>
      </c>
      <c r="Z178" s="35">
        <v>0</v>
      </c>
      <c r="AA178" s="36">
        <v>0</v>
      </c>
      <c r="AB178" s="36">
        <v>0</v>
      </c>
      <c r="AC178" s="35">
        <v>0</v>
      </c>
    </row>
    <row r="179" spans="1:29" x14ac:dyDescent="0.3">
      <c r="A179" s="21" t="s">
        <v>281</v>
      </c>
      <c r="B179" s="35">
        <v>0</v>
      </c>
      <c r="C179" s="36">
        <v>0</v>
      </c>
      <c r="D179" s="35">
        <v>0</v>
      </c>
      <c r="E179" s="36">
        <v>0</v>
      </c>
      <c r="F179" s="36">
        <v>0</v>
      </c>
      <c r="G179" s="35">
        <v>0</v>
      </c>
      <c r="H179" s="36">
        <v>0</v>
      </c>
      <c r="I179" s="35">
        <v>0</v>
      </c>
      <c r="J179" s="36">
        <v>0</v>
      </c>
      <c r="K179" s="36">
        <v>0</v>
      </c>
      <c r="L179" s="35">
        <v>0</v>
      </c>
      <c r="M179" s="36">
        <v>0</v>
      </c>
      <c r="N179" s="35">
        <v>0</v>
      </c>
      <c r="O179" s="35">
        <v>0</v>
      </c>
      <c r="P179" s="35">
        <v>0</v>
      </c>
      <c r="Q179" s="36">
        <v>0</v>
      </c>
      <c r="R179" s="35">
        <v>0</v>
      </c>
      <c r="S179" s="35">
        <v>0</v>
      </c>
      <c r="T179" s="36">
        <v>0</v>
      </c>
      <c r="U179" s="35">
        <v>0</v>
      </c>
      <c r="V179" s="36">
        <v>0</v>
      </c>
      <c r="W179" s="36">
        <v>0</v>
      </c>
      <c r="X179" s="35">
        <v>0</v>
      </c>
      <c r="Y179" s="36">
        <v>0</v>
      </c>
      <c r="Z179" s="35">
        <v>0</v>
      </c>
      <c r="AA179" s="36">
        <v>0</v>
      </c>
      <c r="AB179" s="36">
        <v>0</v>
      </c>
      <c r="AC179" s="35">
        <v>0</v>
      </c>
    </row>
    <row r="180" spans="1:29" x14ac:dyDescent="0.3">
      <c r="A180" s="27" t="s">
        <v>282</v>
      </c>
      <c r="B180" s="35">
        <v>0</v>
      </c>
      <c r="C180" s="36">
        <v>0</v>
      </c>
      <c r="D180" s="35">
        <v>0</v>
      </c>
      <c r="E180" s="36">
        <v>0</v>
      </c>
      <c r="F180" s="36">
        <v>0</v>
      </c>
      <c r="G180" s="35">
        <v>0</v>
      </c>
      <c r="H180" s="36">
        <v>0</v>
      </c>
      <c r="I180" s="35">
        <v>0</v>
      </c>
      <c r="J180" s="36">
        <v>0</v>
      </c>
      <c r="K180" s="36">
        <v>0</v>
      </c>
      <c r="L180" s="35">
        <v>0</v>
      </c>
      <c r="M180" s="36">
        <v>0</v>
      </c>
      <c r="N180" s="35">
        <v>0</v>
      </c>
      <c r="O180" s="35">
        <v>0</v>
      </c>
      <c r="P180" s="35">
        <v>0</v>
      </c>
      <c r="Q180" s="36">
        <v>0</v>
      </c>
      <c r="R180" s="35">
        <v>0</v>
      </c>
      <c r="S180" s="35">
        <v>0</v>
      </c>
      <c r="T180" s="36">
        <v>0</v>
      </c>
      <c r="U180" s="35">
        <v>0</v>
      </c>
      <c r="V180" s="34">
        <v>4</v>
      </c>
      <c r="W180" s="36">
        <v>0</v>
      </c>
      <c r="X180" s="35">
        <v>0</v>
      </c>
      <c r="Y180" s="36">
        <v>0</v>
      </c>
      <c r="Z180" s="35">
        <v>0</v>
      </c>
      <c r="AA180" s="36">
        <v>0</v>
      </c>
      <c r="AB180" s="36">
        <v>0</v>
      </c>
      <c r="AC180" s="35">
        <v>0</v>
      </c>
    </row>
    <row r="181" spans="1:29" x14ac:dyDescent="0.3">
      <c r="A181" s="27" t="s">
        <v>283</v>
      </c>
      <c r="B181" s="35">
        <v>0</v>
      </c>
      <c r="C181" s="36">
        <v>0</v>
      </c>
      <c r="D181" s="35">
        <v>0</v>
      </c>
      <c r="E181" s="36">
        <v>0</v>
      </c>
      <c r="F181" s="34">
        <v>5700</v>
      </c>
      <c r="G181" s="35">
        <v>0</v>
      </c>
      <c r="H181" s="34">
        <v>340</v>
      </c>
      <c r="I181" s="29">
        <v>110</v>
      </c>
      <c r="J181" s="36">
        <v>0</v>
      </c>
      <c r="K181" s="36">
        <v>0</v>
      </c>
      <c r="L181" s="35">
        <v>0</v>
      </c>
      <c r="M181" s="34">
        <v>2900</v>
      </c>
      <c r="N181" s="29">
        <v>88</v>
      </c>
      <c r="O181" s="29">
        <v>683</v>
      </c>
      <c r="P181" s="29">
        <v>5</v>
      </c>
      <c r="Q181" s="36">
        <v>0</v>
      </c>
      <c r="R181" s="35">
        <v>0</v>
      </c>
      <c r="S181" s="29">
        <v>41</v>
      </c>
      <c r="T181" s="34">
        <v>47</v>
      </c>
      <c r="U181" s="35">
        <v>0</v>
      </c>
      <c r="V181" s="36">
        <v>0</v>
      </c>
      <c r="W181" s="34">
        <v>45</v>
      </c>
      <c r="X181" s="29">
        <v>13</v>
      </c>
      <c r="Y181" s="34">
        <v>6</v>
      </c>
      <c r="Z181" s="35">
        <v>0</v>
      </c>
      <c r="AA181" s="36">
        <v>0</v>
      </c>
      <c r="AB181" s="34">
        <v>5</v>
      </c>
      <c r="AC181" s="29">
        <v>14</v>
      </c>
    </row>
    <row r="182" spans="1:29" x14ac:dyDescent="0.3">
      <c r="A182" s="27" t="s">
        <v>284</v>
      </c>
      <c r="B182" s="35">
        <v>0</v>
      </c>
      <c r="C182" s="34">
        <v>40</v>
      </c>
      <c r="D182" s="29">
        <v>357</v>
      </c>
      <c r="E182" s="34">
        <v>129</v>
      </c>
      <c r="F182" s="34">
        <v>440</v>
      </c>
      <c r="G182" s="29">
        <v>8100</v>
      </c>
      <c r="H182" s="34">
        <v>2100</v>
      </c>
      <c r="I182" s="29">
        <v>410</v>
      </c>
      <c r="J182" s="34">
        <v>900</v>
      </c>
      <c r="K182" s="34">
        <v>650</v>
      </c>
      <c r="L182" s="29">
        <v>680</v>
      </c>
      <c r="M182" s="36">
        <v>0</v>
      </c>
      <c r="N182" s="35">
        <v>0</v>
      </c>
      <c r="O182" s="35">
        <v>0</v>
      </c>
      <c r="P182" s="29">
        <v>118</v>
      </c>
      <c r="Q182" s="36">
        <v>0</v>
      </c>
      <c r="R182" s="35">
        <v>0</v>
      </c>
      <c r="S182" s="29">
        <v>4</v>
      </c>
      <c r="T182" s="36">
        <v>0</v>
      </c>
      <c r="U182" s="29">
        <v>27</v>
      </c>
      <c r="V182" s="34">
        <v>4</v>
      </c>
      <c r="W182" s="34">
        <v>5</v>
      </c>
      <c r="X182" s="29">
        <v>6</v>
      </c>
      <c r="Y182" s="36">
        <v>0</v>
      </c>
      <c r="Z182" s="29">
        <v>19</v>
      </c>
      <c r="AA182" s="36">
        <v>0</v>
      </c>
      <c r="AB182" s="34">
        <v>5</v>
      </c>
      <c r="AC182" s="29">
        <v>7</v>
      </c>
    </row>
    <row r="183" spans="1:29" x14ac:dyDescent="0.3">
      <c r="A183" s="27" t="s">
        <v>285</v>
      </c>
      <c r="B183" s="35">
        <v>0</v>
      </c>
      <c r="C183" s="36">
        <v>0</v>
      </c>
      <c r="D183" s="35">
        <v>0</v>
      </c>
      <c r="E183" s="36">
        <v>0</v>
      </c>
      <c r="F183" s="36">
        <v>0</v>
      </c>
      <c r="G183" s="35">
        <v>0</v>
      </c>
      <c r="H183" s="36">
        <v>0</v>
      </c>
      <c r="I183" s="35">
        <v>0</v>
      </c>
      <c r="J183" s="36">
        <v>0</v>
      </c>
      <c r="K183" s="36">
        <v>0</v>
      </c>
      <c r="L183" s="35">
        <v>0</v>
      </c>
      <c r="M183" s="36">
        <v>0</v>
      </c>
      <c r="N183" s="35">
        <v>0</v>
      </c>
      <c r="O183" s="35">
        <v>0</v>
      </c>
      <c r="P183" s="35">
        <v>0</v>
      </c>
      <c r="Q183" s="36">
        <v>0</v>
      </c>
      <c r="R183" s="35">
        <v>0</v>
      </c>
      <c r="S183" s="29">
        <v>4</v>
      </c>
      <c r="T183" s="36">
        <v>0</v>
      </c>
      <c r="U183" s="35">
        <v>0</v>
      </c>
      <c r="V183" s="36">
        <v>0</v>
      </c>
      <c r="W183" s="34">
        <v>5</v>
      </c>
      <c r="X183" s="29">
        <v>13</v>
      </c>
      <c r="Y183" s="36">
        <v>0</v>
      </c>
      <c r="Z183" s="35">
        <v>0</v>
      </c>
      <c r="AA183" s="36">
        <v>0</v>
      </c>
      <c r="AB183" s="36">
        <v>0</v>
      </c>
      <c r="AC183" s="35">
        <v>0</v>
      </c>
    </row>
    <row r="184" spans="1:29" x14ac:dyDescent="0.3">
      <c r="A184" s="27" t="s">
        <v>286</v>
      </c>
      <c r="B184" s="35">
        <v>0</v>
      </c>
      <c r="C184" s="36">
        <v>0</v>
      </c>
      <c r="D184" s="35">
        <v>0</v>
      </c>
      <c r="E184" s="36">
        <v>0</v>
      </c>
      <c r="F184" s="36">
        <v>0</v>
      </c>
      <c r="G184" s="35">
        <v>0</v>
      </c>
      <c r="H184" s="36">
        <v>0</v>
      </c>
      <c r="I184" s="35">
        <v>0</v>
      </c>
      <c r="J184" s="36">
        <v>0</v>
      </c>
      <c r="K184" s="36">
        <v>0</v>
      </c>
      <c r="L184" s="35">
        <v>0</v>
      </c>
      <c r="M184" s="36">
        <v>0</v>
      </c>
      <c r="N184" s="35">
        <v>0</v>
      </c>
      <c r="O184" s="35">
        <v>0</v>
      </c>
      <c r="P184" s="35">
        <v>0</v>
      </c>
      <c r="Q184" s="36">
        <v>0</v>
      </c>
      <c r="R184" s="35">
        <v>0</v>
      </c>
      <c r="S184" s="29">
        <v>52</v>
      </c>
      <c r="T184" s="34">
        <v>32</v>
      </c>
      <c r="U184" s="29">
        <v>45</v>
      </c>
      <c r="V184" s="36">
        <v>0</v>
      </c>
      <c r="W184" s="34">
        <v>55</v>
      </c>
      <c r="X184" s="29">
        <v>6</v>
      </c>
      <c r="Y184" s="36">
        <v>0</v>
      </c>
      <c r="Z184" s="35">
        <v>0</v>
      </c>
      <c r="AA184" s="36">
        <v>0</v>
      </c>
      <c r="AB184" s="34">
        <v>10</v>
      </c>
      <c r="AC184" s="29">
        <v>36</v>
      </c>
    </row>
    <row r="185" spans="1:29" x14ac:dyDescent="0.3">
      <c r="A185" s="27" t="s">
        <v>287</v>
      </c>
      <c r="B185" s="35">
        <v>0</v>
      </c>
      <c r="C185" s="36">
        <v>0</v>
      </c>
      <c r="D185" s="35">
        <v>0</v>
      </c>
      <c r="E185" s="36">
        <v>0</v>
      </c>
      <c r="F185" s="36">
        <v>0</v>
      </c>
      <c r="G185" s="35">
        <v>0</v>
      </c>
      <c r="H185" s="36">
        <v>0</v>
      </c>
      <c r="I185" s="35">
        <v>0</v>
      </c>
      <c r="J185" s="36">
        <v>0</v>
      </c>
      <c r="K185" s="36">
        <v>0</v>
      </c>
      <c r="L185" s="35">
        <v>0</v>
      </c>
      <c r="M185" s="36">
        <v>0</v>
      </c>
      <c r="N185" s="35">
        <v>0</v>
      </c>
      <c r="O185" s="35">
        <v>0</v>
      </c>
      <c r="P185" s="35">
        <v>0</v>
      </c>
      <c r="Q185" s="36">
        <v>0</v>
      </c>
      <c r="R185" s="35">
        <v>0</v>
      </c>
      <c r="S185" s="35">
        <v>0</v>
      </c>
      <c r="T185" s="36">
        <v>0</v>
      </c>
      <c r="U185" s="35">
        <v>0</v>
      </c>
      <c r="V185" s="36">
        <v>0</v>
      </c>
      <c r="W185" s="36">
        <v>0</v>
      </c>
      <c r="X185" s="35">
        <v>0</v>
      </c>
      <c r="Y185" s="36">
        <v>0</v>
      </c>
      <c r="Z185" s="35">
        <v>0</v>
      </c>
      <c r="AA185" s="36">
        <v>0</v>
      </c>
      <c r="AB185" s="36">
        <v>0</v>
      </c>
      <c r="AC185" s="35">
        <v>0</v>
      </c>
    </row>
    <row r="186" spans="1:29" x14ac:dyDescent="0.3">
      <c r="A186" s="27" t="s">
        <v>288</v>
      </c>
      <c r="B186" s="29">
        <v>867</v>
      </c>
      <c r="C186" s="36">
        <v>0</v>
      </c>
      <c r="D186" s="29">
        <v>771</v>
      </c>
      <c r="E186" s="36">
        <v>0</v>
      </c>
      <c r="F186" s="36">
        <v>0</v>
      </c>
      <c r="G186" s="35">
        <v>0</v>
      </c>
      <c r="H186" s="36">
        <v>0</v>
      </c>
      <c r="I186" s="35">
        <v>0</v>
      </c>
      <c r="J186" s="34">
        <v>360</v>
      </c>
      <c r="K186" s="36">
        <v>0</v>
      </c>
      <c r="L186" s="29">
        <v>340</v>
      </c>
      <c r="M186" s="34">
        <v>100</v>
      </c>
      <c r="N186" s="35">
        <v>0</v>
      </c>
      <c r="O186" s="35">
        <v>0</v>
      </c>
      <c r="P186" s="35">
        <v>0</v>
      </c>
      <c r="Q186" s="36">
        <v>0</v>
      </c>
      <c r="R186" s="35">
        <v>0</v>
      </c>
      <c r="S186" s="35">
        <v>0</v>
      </c>
      <c r="T186" s="36">
        <v>0</v>
      </c>
      <c r="U186" s="35">
        <v>0</v>
      </c>
      <c r="V186" s="36">
        <v>0</v>
      </c>
      <c r="W186" s="34">
        <v>30</v>
      </c>
      <c r="X186" s="29">
        <v>13</v>
      </c>
      <c r="Y186" s="36">
        <v>0</v>
      </c>
      <c r="Z186" s="35">
        <v>0</v>
      </c>
      <c r="AA186" s="36">
        <v>0</v>
      </c>
      <c r="AB186" s="34">
        <v>20</v>
      </c>
      <c r="AC186" s="35">
        <v>0</v>
      </c>
    </row>
    <row r="187" spans="1:29" x14ac:dyDescent="0.3">
      <c r="A187" s="21" t="s">
        <v>289</v>
      </c>
      <c r="B187" s="35">
        <v>0</v>
      </c>
      <c r="C187" s="36">
        <v>0</v>
      </c>
      <c r="D187" s="35">
        <v>0</v>
      </c>
      <c r="E187" s="36">
        <v>0</v>
      </c>
      <c r="F187" s="36">
        <v>0</v>
      </c>
      <c r="G187" s="35">
        <v>0</v>
      </c>
      <c r="H187" s="36">
        <v>0</v>
      </c>
      <c r="I187" s="35">
        <v>0</v>
      </c>
      <c r="J187" s="36">
        <v>0</v>
      </c>
      <c r="K187" s="36">
        <v>0</v>
      </c>
      <c r="L187" s="35">
        <v>0</v>
      </c>
      <c r="M187" s="36">
        <v>0</v>
      </c>
      <c r="N187" s="35">
        <v>0</v>
      </c>
      <c r="O187" s="35">
        <v>0</v>
      </c>
      <c r="P187" s="35">
        <v>0</v>
      </c>
      <c r="Q187" s="36">
        <v>0</v>
      </c>
      <c r="R187" s="35">
        <v>0</v>
      </c>
      <c r="S187" s="35">
        <v>0</v>
      </c>
      <c r="T187" s="36">
        <v>0</v>
      </c>
      <c r="U187" s="35">
        <v>0</v>
      </c>
      <c r="V187" s="36">
        <v>0</v>
      </c>
      <c r="W187" s="36">
        <v>0</v>
      </c>
      <c r="X187" s="35">
        <v>0</v>
      </c>
      <c r="Y187" s="36">
        <v>0</v>
      </c>
      <c r="Z187" s="35">
        <v>0</v>
      </c>
      <c r="AA187" s="36">
        <v>0</v>
      </c>
      <c r="AB187" s="36">
        <v>0</v>
      </c>
      <c r="AC187" s="35">
        <v>0</v>
      </c>
    </row>
    <row r="188" spans="1:29" x14ac:dyDescent="0.3">
      <c r="A188" s="21" t="s">
        <v>290</v>
      </c>
      <c r="B188" s="35">
        <v>0</v>
      </c>
      <c r="C188" s="36">
        <v>0</v>
      </c>
      <c r="D188" s="35">
        <v>0</v>
      </c>
      <c r="E188" s="36">
        <v>0</v>
      </c>
      <c r="F188" s="36">
        <v>0</v>
      </c>
      <c r="G188" s="35">
        <v>0</v>
      </c>
      <c r="H188" s="36">
        <v>0</v>
      </c>
      <c r="I188" s="35">
        <v>0</v>
      </c>
      <c r="J188" s="36">
        <v>0</v>
      </c>
      <c r="K188" s="36">
        <v>0</v>
      </c>
      <c r="L188" s="35">
        <v>0</v>
      </c>
      <c r="M188" s="36">
        <v>0</v>
      </c>
      <c r="N188" s="35">
        <v>0</v>
      </c>
      <c r="O188" s="35">
        <v>0</v>
      </c>
      <c r="P188" s="35">
        <v>0</v>
      </c>
      <c r="Q188" s="36">
        <v>0</v>
      </c>
      <c r="R188" s="35">
        <v>0</v>
      </c>
      <c r="S188" s="35">
        <v>0</v>
      </c>
      <c r="T188" s="36">
        <v>0</v>
      </c>
      <c r="U188" s="35">
        <v>0</v>
      </c>
      <c r="V188" s="36">
        <v>0</v>
      </c>
      <c r="W188" s="36">
        <v>0</v>
      </c>
      <c r="X188" s="35">
        <v>0</v>
      </c>
      <c r="Y188" s="36">
        <v>0</v>
      </c>
      <c r="Z188" s="35">
        <v>0</v>
      </c>
      <c r="AA188" s="36">
        <v>0</v>
      </c>
      <c r="AB188" s="36">
        <v>0</v>
      </c>
      <c r="AC188" s="35">
        <v>0</v>
      </c>
    </row>
    <row r="189" spans="1:29" x14ac:dyDescent="0.3">
      <c r="A189" s="27" t="s">
        <v>291</v>
      </c>
      <c r="B189" s="35">
        <v>0</v>
      </c>
      <c r="C189" s="36">
        <v>0</v>
      </c>
      <c r="D189" s="35">
        <v>0</v>
      </c>
      <c r="E189" s="36">
        <v>0</v>
      </c>
      <c r="F189" s="36">
        <v>0</v>
      </c>
      <c r="G189" s="35">
        <v>0</v>
      </c>
      <c r="H189" s="36">
        <v>0</v>
      </c>
      <c r="I189" s="35">
        <v>0</v>
      </c>
      <c r="J189" s="36">
        <v>0</v>
      </c>
      <c r="K189" s="36">
        <v>0</v>
      </c>
      <c r="L189" s="35">
        <v>0</v>
      </c>
      <c r="M189" s="36">
        <v>0</v>
      </c>
      <c r="N189" s="35">
        <v>0</v>
      </c>
      <c r="O189" s="35">
        <v>0</v>
      </c>
      <c r="P189" s="35">
        <v>0</v>
      </c>
      <c r="Q189" s="36">
        <v>0</v>
      </c>
      <c r="R189" s="35">
        <v>0</v>
      </c>
      <c r="S189" s="35">
        <v>0</v>
      </c>
      <c r="T189" s="36">
        <v>0</v>
      </c>
      <c r="U189" s="35">
        <v>0</v>
      </c>
      <c r="V189" s="36">
        <v>0</v>
      </c>
      <c r="W189" s="36">
        <v>0</v>
      </c>
      <c r="X189" s="35">
        <v>0</v>
      </c>
      <c r="Y189" s="36">
        <v>0</v>
      </c>
      <c r="Z189" s="35">
        <v>0</v>
      </c>
      <c r="AA189" s="36">
        <v>0</v>
      </c>
      <c r="AB189" s="36">
        <v>0</v>
      </c>
      <c r="AC189" s="35">
        <v>0</v>
      </c>
    </row>
    <row r="190" spans="1:29" x14ac:dyDescent="0.3">
      <c r="A190" s="27" t="s">
        <v>292</v>
      </c>
      <c r="B190" s="29">
        <v>11</v>
      </c>
      <c r="C190" s="36">
        <v>0</v>
      </c>
      <c r="D190" s="35">
        <v>0</v>
      </c>
      <c r="E190" s="36">
        <v>0</v>
      </c>
      <c r="F190" s="34">
        <v>60</v>
      </c>
      <c r="G190" s="29">
        <v>20</v>
      </c>
      <c r="H190" s="36">
        <v>0</v>
      </c>
      <c r="I190" s="35">
        <v>0</v>
      </c>
      <c r="J190" s="34">
        <v>60</v>
      </c>
      <c r="K190" s="34">
        <v>17</v>
      </c>
      <c r="L190" s="35">
        <v>0</v>
      </c>
      <c r="M190" s="36">
        <v>0</v>
      </c>
      <c r="N190" s="29">
        <v>63</v>
      </c>
      <c r="O190" s="35">
        <v>0</v>
      </c>
      <c r="P190" s="29">
        <v>5</v>
      </c>
      <c r="Q190" s="36">
        <v>0</v>
      </c>
      <c r="R190" s="35">
        <v>0</v>
      </c>
      <c r="S190" s="35">
        <v>0</v>
      </c>
      <c r="T190" s="36">
        <v>0</v>
      </c>
      <c r="U190" s="35">
        <v>0</v>
      </c>
      <c r="V190" s="36">
        <v>0</v>
      </c>
      <c r="W190" s="36">
        <v>0</v>
      </c>
      <c r="X190" s="35">
        <v>0</v>
      </c>
      <c r="Y190" s="36">
        <v>0</v>
      </c>
      <c r="Z190" s="35">
        <v>0</v>
      </c>
      <c r="AA190" s="36">
        <v>0</v>
      </c>
      <c r="AB190" s="36">
        <v>0</v>
      </c>
      <c r="AC190" s="35">
        <v>0</v>
      </c>
    </row>
    <row r="191" spans="1:29" x14ac:dyDescent="0.3">
      <c r="A191" s="27" t="s">
        <v>293</v>
      </c>
      <c r="B191" s="35">
        <v>0</v>
      </c>
      <c r="C191" s="36">
        <v>0</v>
      </c>
      <c r="D191" s="35">
        <v>0</v>
      </c>
      <c r="E191" s="36">
        <v>0</v>
      </c>
      <c r="F191" s="36">
        <v>0</v>
      </c>
      <c r="G191" s="35">
        <v>0</v>
      </c>
      <c r="H191" s="36">
        <v>0</v>
      </c>
      <c r="I191" s="35">
        <v>0</v>
      </c>
      <c r="J191" s="36">
        <v>0</v>
      </c>
      <c r="K191" s="36">
        <v>0</v>
      </c>
      <c r="L191" s="35">
        <v>0</v>
      </c>
      <c r="M191" s="36">
        <v>0</v>
      </c>
      <c r="N191" s="35">
        <v>0</v>
      </c>
      <c r="O191" s="35">
        <v>0</v>
      </c>
      <c r="P191" s="35">
        <v>0</v>
      </c>
      <c r="Q191" s="36">
        <v>0</v>
      </c>
      <c r="R191" s="35">
        <v>0</v>
      </c>
      <c r="S191" s="29">
        <v>11</v>
      </c>
      <c r="T191" s="34">
        <v>5</v>
      </c>
      <c r="U191" s="29">
        <v>27</v>
      </c>
      <c r="V191" s="36">
        <v>0</v>
      </c>
      <c r="W191" s="36">
        <v>0</v>
      </c>
      <c r="X191" s="29">
        <v>13</v>
      </c>
      <c r="Y191" s="34">
        <v>6</v>
      </c>
      <c r="Z191" s="35">
        <v>0</v>
      </c>
      <c r="AA191" s="36">
        <v>0</v>
      </c>
      <c r="AB191" s="34">
        <v>10</v>
      </c>
      <c r="AC191" s="35">
        <v>0</v>
      </c>
    </row>
    <row r="192" spans="1:29" x14ac:dyDescent="0.3">
      <c r="A192" s="27" t="s">
        <v>294</v>
      </c>
      <c r="B192" s="35">
        <v>0</v>
      </c>
      <c r="C192" s="36">
        <v>0</v>
      </c>
      <c r="D192" s="35">
        <v>0</v>
      </c>
      <c r="E192" s="36">
        <v>0</v>
      </c>
      <c r="F192" s="36">
        <v>0</v>
      </c>
      <c r="G192" s="35">
        <v>0</v>
      </c>
      <c r="H192" s="36">
        <v>0</v>
      </c>
      <c r="I192" s="35">
        <v>0</v>
      </c>
      <c r="J192" s="36">
        <v>0</v>
      </c>
      <c r="K192" s="36">
        <v>0</v>
      </c>
      <c r="L192" s="35">
        <v>0</v>
      </c>
      <c r="M192" s="36">
        <v>0</v>
      </c>
      <c r="N192" s="35">
        <v>0</v>
      </c>
      <c r="O192" s="35">
        <v>0</v>
      </c>
      <c r="P192" s="35">
        <v>0</v>
      </c>
      <c r="Q192" s="36">
        <v>0</v>
      </c>
      <c r="R192" s="35">
        <v>0</v>
      </c>
      <c r="S192" s="35">
        <v>0</v>
      </c>
      <c r="T192" s="36">
        <v>0</v>
      </c>
      <c r="U192" s="35">
        <v>0</v>
      </c>
      <c r="V192" s="36">
        <v>0</v>
      </c>
      <c r="W192" s="36">
        <v>0</v>
      </c>
      <c r="X192" s="35">
        <v>0</v>
      </c>
      <c r="Y192" s="36">
        <v>0</v>
      </c>
      <c r="Z192" s="35">
        <v>0</v>
      </c>
      <c r="AA192" s="36">
        <v>0</v>
      </c>
      <c r="AB192" s="36">
        <v>0</v>
      </c>
      <c r="AC192" s="35">
        <v>0</v>
      </c>
    </row>
    <row r="193" spans="1:29" x14ac:dyDescent="0.3">
      <c r="A193" s="21" t="s">
        <v>295</v>
      </c>
      <c r="B193" s="35">
        <v>0</v>
      </c>
      <c r="C193" s="36">
        <v>0</v>
      </c>
      <c r="D193" s="35">
        <v>0</v>
      </c>
      <c r="E193" s="36">
        <v>0</v>
      </c>
      <c r="F193" s="36">
        <v>0</v>
      </c>
      <c r="G193" s="35">
        <v>0</v>
      </c>
      <c r="H193" s="36">
        <v>0</v>
      </c>
      <c r="I193" s="35">
        <v>0</v>
      </c>
      <c r="J193" s="36">
        <v>0</v>
      </c>
      <c r="K193" s="36">
        <v>0</v>
      </c>
      <c r="L193" s="35">
        <v>0</v>
      </c>
      <c r="M193" s="36">
        <v>0</v>
      </c>
      <c r="N193" s="35">
        <v>0</v>
      </c>
      <c r="O193" s="35">
        <v>0</v>
      </c>
      <c r="P193" s="35">
        <v>0</v>
      </c>
      <c r="Q193" s="36">
        <v>0</v>
      </c>
      <c r="R193" s="35">
        <v>0</v>
      </c>
      <c r="S193" s="35">
        <v>0</v>
      </c>
      <c r="T193" s="36">
        <v>0</v>
      </c>
      <c r="U193" s="35">
        <v>0</v>
      </c>
      <c r="V193" s="36">
        <v>0</v>
      </c>
      <c r="W193" s="36">
        <v>0</v>
      </c>
      <c r="X193" s="35">
        <v>0</v>
      </c>
      <c r="Y193" s="36">
        <v>0</v>
      </c>
      <c r="Z193" s="35">
        <v>0</v>
      </c>
      <c r="AA193" s="36">
        <v>0</v>
      </c>
      <c r="AB193" s="36">
        <v>0</v>
      </c>
      <c r="AC193" s="35">
        <v>0</v>
      </c>
    </row>
    <row r="194" spans="1:29" x14ac:dyDescent="0.3">
      <c r="A194" s="27" t="s">
        <v>296</v>
      </c>
      <c r="B194" s="35">
        <v>0</v>
      </c>
      <c r="C194" s="36">
        <v>0</v>
      </c>
      <c r="D194" s="35">
        <v>0</v>
      </c>
      <c r="E194" s="36">
        <v>0</v>
      </c>
      <c r="F194" s="36">
        <v>0</v>
      </c>
      <c r="G194" s="35">
        <v>0</v>
      </c>
      <c r="H194" s="36">
        <v>0</v>
      </c>
      <c r="I194" s="35">
        <v>0</v>
      </c>
      <c r="J194" s="36">
        <v>0</v>
      </c>
      <c r="K194" s="36">
        <v>0</v>
      </c>
      <c r="L194" s="35">
        <v>0</v>
      </c>
      <c r="M194" s="36">
        <v>0</v>
      </c>
      <c r="N194" s="35">
        <v>0</v>
      </c>
      <c r="O194" s="35">
        <v>0</v>
      </c>
      <c r="P194" s="35">
        <v>0</v>
      </c>
      <c r="Q194" s="36">
        <v>0</v>
      </c>
      <c r="R194" s="35">
        <v>0</v>
      </c>
      <c r="S194" s="29">
        <v>4</v>
      </c>
      <c r="T194" s="36">
        <v>0</v>
      </c>
      <c r="U194" s="35">
        <v>0</v>
      </c>
      <c r="V194" s="36">
        <v>0</v>
      </c>
      <c r="W194" s="36">
        <v>0</v>
      </c>
      <c r="X194" s="35">
        <v>0</v>
      </c>
      <c r="Y194" s="36">
        <v>0</v>
      </c>
      <c r="Z194" s="35">
        <v>0</v>
      </c>
      <c r="AA194" s="36">
        <v>0</v>
      </c>
      <c r="AB194" s="36">
        <v>0</v>
      </c>
      <c r="AC194" s="35">
        <v>0</v>
      </c>
    </row>
    <row r="195" spans="1:29" x14ac:dyDescent="0.3">
      <c r="A195" s="27" t="s">
        <v>297</v>
      </c>
      <c r="B195" s="35">
        <v>0</v>
      </c>
      <c r="C195" s="34">
        <v>30</v>
      </c>
      <c r="D195" s="35">
        <v>0</v>
      </c>
      <c r="E195" s="36">
        <v>0</v>
      </c>
      <c r="F195" s="34">
        <v>40</v>
      </c>
      <c r="G195" s="29">
        <v>100</v>
      </c>
      <c r="H195" s="36">
        <v>0</v>
      </c>
      <c r="I195" s="29">
        <v>10</v>
      </c>
      <c r="J195" s="36">
        <v>0</v>
      </c>
      <c r="K195" s="36">
        <v>0</v>
      </c>
      <c r="L195" s="35">
        <v>0</v>
      </c>
      <c r="M195" s="36">
        <v>0</v>
      </c>
      <c r="N195" s="29">
        <v>63</v>
      </c>
      <c r="O195" s="29">
        <v>367</v>
      </c>
      <c r="P195" s="35">
        <v>0</v>
      </c>
      <c r="Q195" s="36">
        <v>0</v>
      </c>
      <c r="R195" s="35">
        <v>0</v>
      </c>
      <c r="S195" s="35">
        <v>0</v>
      </c>
      <c r="T195" s="36">
        <v>0</v>
      </c>
      <c r="U195" s="29">
        <v>9</v>
      </c>
      <c r="V195" s="36">
        <v>0</v>
      </c>
      <c r="W195" s="36">
        <v>0</v>
      </c>
      <c r="X195" s="35">
        <v>0</v>
      </c>
      <c r="Y195" s="36">
        <v>0</v>
      </c>
      <c r="Z195" s="35">
        <v>0</v>
      </c>
      <c r="AA195" s="36">
        <v>0</v>
      </c>
      <c r="AB195" s="36">
        <v>0</v>
      </c>
      <c r="AC195" s="35">
        <v>0</v>
      </c>
    </row>
    <row r="196" spans="1:29" x14ac:dyDescent="0.3">
      <c r="A196" s="27" t="s">
        <v>298</v>
      </c>
      <c r="B196" s="35">
        <v>0</v>
      </c>
      <c r="C196" s="36">
        <v>0</v>
      </c>
      <c r="D196" s="29">
        <v>57</v>
      </c>
      <c r="E196" s="34">
        <v>57</v>
      </c>
      <c r="F196" s="36">
        <v>0</v>
      </c>
      <c r="G196" s="35">
        <v>0</v>
      </c>
      <c r="H196" s="36">
        <v>0</v>
      </c>
      <c r="I196" s="35">
        <v>0</v>
      </c>
      <c r="J196" s="36">
        <v>0</v>
      </c>
      <c r="K196" s="36">
        <v>0</v>
      </c>
      <c r="L196" s="35">
        <v>0</v>
      </c>
      <c r="M196" s="36">
        <v>0</v>
      </c>
      <c r="N196" s="35">
        <v>0</v>
      </c>
      <c r="O196" s="35">
        <v>0</v>
      </c>
      <c r="P196" s="35">
        <v>0</v>
      </c>
      <c r="Q196" s="36">
        <v>0</v>
      </c>
      <c r="R196" s="35">
        <v>0</v>
      </c>
      <c r="S196" s="35">
        <v>0</v>
      </c>
      <c r="T196" s="36">
        <v>0</v>
      </c>
      <c r="U196" s="35">
        <v>0</v>
      </c>
      <c r="V196" s="36">
        <v>0</v>
      </c>
      <c r="W196" s="36">
        <v>0</v>
      </c>
      <c r="X196" s="35">
        <v>0</v>
      </c>
      <c r="Y196" s="36">
        <v>0</v>
      </c>
      <c r="Z196" s="35">
        <v>0</v>
      </c>
      <c r="AA196" s="36">
        <v>0</v>
      </c>
      <c r="AB196" s="36">
        <v>0</v>
      </c>
      <c r="AC196" s="35">
        <v>0</v>
      </c>
    </row>
    <row r="197" spans="1:29" x14ac:dyDescent="0.3">
      <c r="A197" s="27" t="s">
        <v>299</v>
      </c>
      <c r="B197" s="35">
        <v>0</v>
      </c>
      <c r="C197" s="36">
        <v>0</v>
      </c>
      <c r="D197" s="35">
        <v>0</v>
      </c>
      <c r="E197" s="36">
        <v>0</v>
      </c>
      <c r="F197" s="36">
        <v>0</v>
      </c>
      <c r="G197" s="35">
        <v>0</v>
      </c>
      <c r="H197" s="36">
        <v>0</v>
      </c>
      <c r="I197" s="35">
        <v>0</v>
      </c>
      <c r="J197" s="36">
        <v>0</v>
      </c>
      <c r="K197" s="36">
        <v>0</v>
      </c>
      <c r="L197" s="35">
        <v>0</v>
      </c>
      <c r="M197" s="36">
        <v>0</v>
      </c>
      <c r="N197" s="35">
        <v>0</v>
      </c>
      <c r="O197" s="35">
        <v>0</v>
      </c>
      <c r="P197" s="35">
        <v>0</v>
      </c>
      <c r="Q197" s="36">
        <v>0</v>
      </c>
      <c r="R197" s="35">
        <v>0</v>
      </c>
      <c r="S197" s="35">
        <v>0</v>
      </c>
      <c r="T197" s="34">
        <v>5</v>
      </c>
      <c r="U197" s="29">
        <v>27</v>
      </c>
      <c r="V197" s="36">
        <v>0</v>
      </c>
      <c r="W197" s="36">
        <v>0</v>
      </c>
      <c r="X197" s="35">
        <v>0</v>
      </c>
      <c r="Y197" s="36">
        <v>0</v>
      </c>
      <c r="Z197" s="35">
        <v>0</v>
      </c>
      <c r="AA197" s="36">
        <v>0</v>
      </c>
      <c r="AB197" s="36">
        <v>0</v>
      </c>
      <c r="AC197" s="29">
        <v>7</v>
      </c>
    </row>
    <row r="198" spans="1:29" x14ac:dyDescent="0.3">
      <c r="A198" s="27" t="s">
        <v>300</v>
      </c>
      <c r="B198" s="35">
        <v>0</v>
      </c>
      <c r="C198" s="36">
        <v>0</v>
      </c>
      <c r="D198" s="35">
        <v>0</v>
      </c>
      <c r="E198" s="36">
        <v>0</v>
      </c>
      <c r="F198" s="36">
        <v>0</v>
      </c>
      <c r="G198" s="35">
        <v>0</v>
      </c>
      <c r="H198" s="36">
        <v>0</v>
      </c>
      <c r="I198" s="35">
        <v>0</v>
      </c>
      <c r="J198" s="36">
        <v>0</v>
      </c>
      <c r="K198" s="36">
        <v>0</v>
      </c>
      <c r="L198" s="35">
        <v>0</v>
      </c>
      <c r="M198" s="36">
        <v>0</v>
      </c>
      <c r="N198" s="35">
        <v>0</v>
      </c>
      <c r="O198" s="35">
        <v>0</v>
      </c>
      <c r="P198" s="35">
        <v>0</v>
      </c>
      <c r="Q198" s="36">
        <v>0</v>
      </c>
      <c r="R198" s="35">
        <v>0</v>
      </c>
      <c r="S198" s="35">
        <v>0</v>
      </c>
      <c r="T198" s="34">
        <v>5</v>
      </c>
      <c r="U198" s="29">
        <v>27</v>
      </c>
      <c r="V198" s="36">
        <v>0</v>
      </c>
      <c r="W198" s="36">
        <v>0</v>
      </c>
      <c r="X198" s="29">
        <v>19</v>
      </c>
      <c r="Y198" s="34">
        <v>6</v>
      </c>
      <c r="Z198" s="29">
        <v>6</v>
      </c>
      <c r="AA198" s="36">
        <v>0</v>
      </c>
      <c r="AB198" s="36">
        <v>0</v>
      </c>
      <c r="AC198" s="29">
        <v>7</v>
      </c>
    </row>
    <row r="199" spans="1:29" x14ac:dyDescent="0.3">
      <c r="A199" s="27" t="s">
        <v>301</v>
      </c>
      <c r="B199" s="35">
        <v>0</v>
      </c>
      <c r="C199" s="36">
        <v>0</v>
      </c>
      <c r="D199" s="35">
        <v>0</v>
      </c>
      <c r="E199" s="36">
        <v>0</v>
      </c>
      <c r="F199" s="36">
        <v>0</v>
      </c>
      <c r="G199" s="35">
        <v>0</v>
      </c>
      <c r="H199" s="36">
        <v>0</v>
      </c>
      <c r="I199" s="35">
        <v>0</v>
      </c>
      <c r="J199" s="36">
        <v>0</v>
      </c>
      <c r="K199" s="36">
        <v>0</v>
      </c>
      <c r="L199" s="35">
        <v>0</v>
      </c>
      <c r="M199" s="36">
        <v>0</v>
      </c>
      <c r="N199" s="29">
        <v>550</v>
      </c>
      <c r="O199" s="35">
        <v>0</v>
      </c>
      <c r="P199" s="35">
        <v>0</v>
      </c>
      <c r="Q199" s="34">
        <v>2</v>
      </c>
      <c r="R199" s="35">
        <v>0</v>
      </c>
      <c r="S199" s="35">
        <v>0</v>
      </c>
      <c r="T199" s="36">
        <v>0</v>
      </c>
      <c r="U199" s="29">
        <v>91</v>
      </c>
      <c r="V199" s="36">
        <v>0</v>
      </c>
      <c r="W199" s="36">
        <v>0</v>
      </c>
      <c r="X199" s="35">
        <v>0</v>
      </c>
      <c r="Y199" s="36">
        <v>0</v>
      </c>
      <c r="Z199" s="35">
        <v>0</v>
      </c>
      <c r="AA199" s="36">
        <v>0</v>
      </c>
      <c r="AB199" s="36">
        <v>0</v>
      </c>
      <c r="AC199" s="29">
        <v>114</v>
      </c>
    </row>
    <row r="200" spans="1:29" x14ac:dyDescent="0.3">
      <c r="A200" s="27" t="s">
        <v>302</v>
      </c>
      <c r="B200" s="35">
        <v>0</v>
      </c>
      <c r="C200" s="34">
        <v>110</v>
      </c>
      <c r="D200" s="35">
        <v>0</v>
      </c>
      <c r="E200" s="34">
        <v>86</v>
      </c>
      <c r="F200" s="36">
        <v>0</v>
      </c>
      <c r="G200" s="29">
        <v>140</v>
      </c>
      <c r="H200" s="36">
        <v>0</v>
      </c>
      <c r="I200" s="35">
        <v>0</v>
      </c>
      <c r="J200" s="36">
        <v>0</v>
      </c>
      <c r="K200" s="36">
        <v>0</v>
      </c>
      <c r="L200" s="29">
        <v>100</v>
      </c>
      <c r="M200" s="36">
        <v>0</v>
      </c>
      <c r="N200" s="29">
        <v>13</v>
      </c>
      <c r="O200" s="35">
        <v>0</v>
      </c>
      <c r="P200" s="35">
        <v>0</v>
      </c>
      <c r="Q200" s="36">
        <v>0</v>
      </c>
      <c r="R200" s="35">
        <v>0</v>
      </c>
      <c r="S200" s="35">
        <v>0</v>
      </c>
      <c r="T200" s="34">
        <v>21</v>
      </c>
      <c r="U200" s="29">
        <v>55</v>
      </c>
      <c r="V200" s="36">
        <v>0</v>
      </c>
      <c r="W200" s="36">
        <v>0</v>
      </c>
      <c r="X200" s="29">
        <v>6</v>
      </c>
      <c r="Y200" s="34">
        <v>24</v>
      </c>
      <c r="Z200" s="35">
        <v>0</v>
      </c>
      <c r="AA200" s="36">
        <v>0</v>
      </c>
      <c r="AB200" s="36">
        <v>0</v>
      </c>
      <c r="AC200" s="29">
        <v>21</v>
      </c>
    </row>
    <row r="201" spans="1:29" x14ac:dyDescent="0.3">
      <c r="A201" s="27" t="s">
        <v>303</v>
      </c>
      <c r="B201" s="35">
        <v>0</v>
      </c>
      <c r="C201" s="36">
        <v>0</v>
      </c>
      <c r="D201" s="35">
        <v>0</v>
      </c>
      <c r="E201" s="36">
        <v>0</v>
      </c>
      <c r="F201" s="36">
        <v>0</v>
      </c>
      <c r="G201" s="35">
        <v>0</v>
      </c>
      <c r="H201" s="36">
        <v>0</v>
      </c>
      <c r="I201" s="35">
        <v>0</v>
      </c>
      <c r="J201" s="36">
        <v>0</v>
      </c>
      <c r="K201" s="36">
        <v>0</v>
      </c>
      <c r="L201" s="35">
        <v>0</v>
      </c>
      <c r="M201" s="36">
        <v>0</v>
      </c>
      <c r="N201" s="35">
        <v>0</v>
      </c>
      <c r="O201" s="35">
        <v>0</v>
      </c>
      <c r="P201" s="35">
        <v>0</v>
      </c>
      <c r="Q201" s="36">
        <v>0</v>
      </c>
      <c r="R201" s="35">
        <v>0</v>
      </c>
      <c r="S201" s="35">
        <v>0</v>
      </c>
      <c r="T201" s="36">
        <v>0</v>
      </c>
      <c r="U201" s="35">
        <v>0</v>
      </c>
      <c r="V201" s="36">
        <v>0</v>
      </c>
      <c r="W201" s="36">
        <v>0</v>
      </c>
      <c r="X201" s="35">
        <v>0</v>
      </c>
      <c r="Y201" s="36">
        <v>0</v>
      </c>
      <c r="Z201" s="35">
        <v>0</v>
      </c>
      <c r="AA201" s="36">
        <v>0</v>
      </c>
      <c r="AB201" s="36">
        <v>0</v>
      </c>
      <c r="AC201" s="35">
        <v>0</v>
      </c>
    </row>
    <row r="202" spans="1:29" x14ac:dyDescent="0.3">
      <c r="A202" s="27" t="s">
        <v>304</v>
      </c>
      <c r="B202" s="35">
        <v>0</v>
      </c>
      <c r="C202" s="36">
        <v>0</v>
      </c>
      <c r="D202" s="35">
        <v>0</v>
      </c>
      <c r="E202" s="36">
        <v>0</v>
      </c>
      <c r="F202" s="36">
        <v>0</v>
      </c>
      <c r="G202" s="35">
        <v>0</v>
      </c>
      <c r="H202" s="36">
        <v>0</v>
      </c>
      <c r="I202" s="35">
        <v>0</v>
      </c>
      <c r="J202" s="36">
        <v>0</v>
      </c>
      <c r="K202" s="36">
        <v>0</v>
      </c>
      <c r="L202" s="35">
        <v>0</v>
      </c>
      <c r="M202" s="36">
        <v>0</v>
      </c>
      <c r="N202" s="35">
        <v>0</v>
      </c>
      <c r="O202" s="35">
        <v>0</v>
      </c>
      <c r="P202" s="35">
        <v>0</v>
      </c>
      <c r="Q202" s="36">
        <v>0</v>
      </c>
      <c r="R202" s="35">
        <v>0</v>
      </c>
      <c r="S202" s="35">
        <v>0</v>
      </c>
      <c r="T202" s="34">
        <v>5</v>
      </c>
      <c r="U202" s="35">
        <v>0</v>
      </c>
      <c r="V202" s="36">
        <v>0</v>
      </c>
      <c r="W202" s="36">
        <v>0</v>
      </c>
      <c r="X202" s="35">
        <v>0</v>
      </c>
      <c r="Y202" s="34">
        <v>12</v>
      </c>
      <c r="Z202" s="35">
        <v>0</v>
      </c>
      <c r="AA202" s="36">
        <v>0</v>
      </c>
      <c r="AB202" s="36">
        <v>0</v>
      </c>
      <c r="AC202" s="35">
        <v>0</v>
      </c>
    </row>
    <row r="203" spans="1:29" x14ac:dyDescent="0.3">
      <c r="A203" s="27" t="s">
        <v>305</v>
      </c>
      <c r="B203" s="35">
        <v>0</v>
      </c>
      <c r="C203" s="34">
        <v>10</v>
      </c>
      <c r="D203" s="35">
        <v>0</v>
      </c>
      <c r="E203" s="36">
        <v>0</v>
      </c>
      <c r="F203" s="36">
        <v>0</v>
      </c>
      <c r="G203" s="35">
        <v>0</v>
      </c>
      <c r="H203" s="36">
        <v>0</v>
      </c>
      <c r="I203" s="35">
        <v>0</v>
      </c>
      <c r="J203" s="36">
        <v>0</v>
      </c>
      <c r="K203" s="36">
        <v>0</v>
      </c>
      <c r="L203" s="35">
        <v>0</v>
      </c>
      <c r="M203" s="36">
        <v>0</v>
      </c>
      <c r="N203" s="35">
        <v>0</v>
      </c>
      <c r="O203" s="35">
        <v>0</v>
      </c>
      <c r="P203" s="35">
        <v>0</v>
      </c>
      <c r="Q203" s="36">
        <v>0</v>
      </c>
      <c r="R203" s="35">
        <v>0</v>
      </c>
      <c r="S203" s="35">
        <v>0</v>
      </c>
      <c r="T203" s="36">
        <v>0</v>
      </c>
      <c r="U203" s="35">
        <v>0</v>
      </c>
      <c r="V203" s="36">
        <v>0</v>
      </c>
      <c r="W203" s="36">
        <v>0</v>
      </c>
      <c r="X203" s="29">
        <v>6</v>
      </c>
      <c r="Y203" s="36">
        <v>0</v>
      </c>
      <c r="Z203" s="35">
        <v>0</v>
      </c>
      <c r="AA203" s="36">
        <v>0</v>
      </c>
      <c r="AB203" s="36">
        <v>0</v>
      </c>
      <c r="AC203" s="35">
        <v>0</v>
      </c>
    </row>
    <row r="204" spans="1:29" x14ac:dyDescent="0.3">
      <c r="A204" s="27" t="s">
        <v>306</v>
      </c>
      <c r="B204" s="35">
        <v>0</v>
      </c>
      <c r="C204" s="36">
        <v>0</v>
      </c>
      <c r="D204" s="35">
        <v>0</v>
      </c>
      <c r="E204" s="34">
        <v>14</v>
      </c>
      <c r="F204" s="36">
        <v>0</v>
      </c>
      <c r="G204" s="35">
        <v>0</v>
      </c>
      <c r="H204" s="36">
        <v>0</v>
      </c>
      <c r="I204" s="35">
        <v>0</v>
      </c>
      <c r="J204" s="36">
        <v>0</v>
      </c>
      <c r="K204" s="36">
        <v>0</v>
      </c>
      <c r="L204" s="29">
        <v>40</v>
      </c>
      <c r="M204" s="36">
        <v>0</v>
      </c>
      <c r="N204" s="29">
        <v>88</v>
      </c>
      <c r="O204" s="29">
        <v>83</v>
      </c>
      <c r="P204" s="35">
        <v>0</v>
      </c>
      <c r="Q204" s="36">
        <v>0</v>
      </c>
      <c r="R204" s="35">
        <v>0</v>
      </c>
      <c r="S204" s="29">
        <v>15</v>
      </c>
      <c r="T204" s="36">
        <v>0</v>
      </c>
      <c r="U204" s="29">
        <v>145</v>
      </c>
      <c r="V204" s="36">
        <v>0</v>
      </c>
      <c r="W204" s="34">
        <v>10</v>
      </c>
      <c r="X204" s="35">
        <v>0</v>
      </c>
      <c r="Y204" s="36">
        <v>0</v>
      </c>
      <c r="Z204" s="29">
        <v>13</v>
      </c>
      <c r="AA204" s="36">
        <v>0</v>
      </c>
      <c r="AB204" s="36">
        <v>0</v>
      </c>
      <c r="AC204" s="35">
        <v>0</v>
      </c>
    </row>
    <row r="205" spans="1:29" x14ac:dyDescent="0.3">
      <c r="A205" s="27" t="s">
        <v>307</v>
      </c>
      <c r="B205" s="35">
        <v>0</v>
      </c>
      <c r="C205" s="36">
        <v>0</v>
      </c>
      <c r="D205" s="35">
        <v>0</v>
      </c>
      <c r="E205" s="36">
        <v>0</v>
      </c>
      <c r="F205" s="36">
        <v>0</v>
      </c>
      <c r="G205" s="35">
        <v>0</v>
      </c>
      <c r="H205" s="36">
        <v>0</v>
      </c>
      <c r="I205" s="35">
        <v>0</v>
      </c>
      <c r="J205" s="36">
        <v>0</v>
      </c>
      <c r="K205" s="36">
        <v>0</v>
      </c>
      <c r="L205" s="35">
        <v>0</v>
      </c>
      <c r="M205" s="36">
        <v>0</v>
      </c>
      <c r="N205" s="35">
        <v>0</v>
      </c>
      <c r="O205" s="35">
        <v>0</v>
      </c>
      <c r="P205" s="35">
        <v>0</v>
      </c>
      <c r="Q205" s="36">
        <v>0</v>
      </c>
      <c r="R205" s="35">
        <v>0</v>
      </c>
      <c r="S205" s="35">
        <v>0</v>
      </c>
      <c r="T205" s="36">
        <v>0</v>
      </c>
      <c r="U205" s="35">
        <v>0</v>
      </c>
      <c r="V205" s="36">
        <v>0</v>
      </c>
      <c r="W205" s="36">
        <v>0</v>
      </c>
      <c r="X205" s="35">
        <v>0</v>
      </c>
      <c r="Y205" s="36">
        <v>0</v>
      </c>
      <c r="Z205" s="35">
        <v>0</v>
      </c>
      <c r="AA205" s="36">
        <v>0</v>
      </c>
      <c r="AB205" s="36">
        <v>0</v>
      </c>
      <c r="AC205" s="35">
        <v>0</v>
      </c>
    </row>
    <row r="206" spans="1:29" x14ac:dyDescent="0.3">
      <c r="A206" s="27" t="s">
        <v>308</v>
      </c>
      <c r="B206" s="29">
        <v>22</v>
      </c>
      <c r="C206" s="34">
        <v>180</v>
      </c>
      <c r="D206" s="29">
        <v>286</v>
      </c>
      <c r="E206" s="34">
        <v>771</v>
      </c>
      <c r="F206" s="36">
        <v>0</v>
      </c>
      <c r="G206" s="35">
        <v>0</v>
      </c>
      <c r="H206" s="34">
        <v>180</v>
      </c>
      <c r="I206" s="29">
        <v>130</v>
      </c>
      <c r="J206" s="34">
        <v>1500</v>
      </c>
      <c r="K206" s="36">
        <v>0</v>
      </c>
      <c r="L206" s="35">
        <v>0</v>
      </c>
      <c r="M206" s="36">
        <v>0</v>
      </c>
      <c r="N206" s="29">
        <v>75</v>
      </c>
      <c r="O206" s="29">
        <v>233</v>
      </c>
      <c r="P206" s="35">
        <v>0</v>
      </c>
      <c r="Q206" s="36">
        <v>0</v>
      </c>
      <c r="R206" s="35">
        <v>0</v>
      </c>
      <c r="S206" s="29">
        <v>7</v>
      </c>
      <c r="T206" s="34">
        <v>53</v>
      </c>
      <c r="U206" s="29">
        <v>36</v>
      </c>
      <c r="V206" s="36">
        <v>0</v>
      </c>
      <c r="W206" s="34">
        <v>10</v>
      </c>
      <c r="X206" s="29">
        <v>25</v>
      </c>
      <c r="Y206" s="34">
        <v>112</v>
      </c>
      <c r="Z206" s="35">
        <v>0</v>
      </c>
      <c r="AA206" s="36">
        <v>0</v>
      </c>
      <c r="AB206" s="34">
        <v>5</v>
      </c>
      <c r="AC206" s="29">
        <v>21</v>
      </c>
    </row>
    <row r="207" spans="1:29" x14ac:dyDescent="0.3">
      <c r="A207" s="27" t="s">
        <v>309</v>
      </c>
      <c r="B207" s="35">
        <v>0</v>
      </c>
      <c r="C207" s="36">
        <v>0</v>
      </c>
      <c r="D207" s="35">
        <v>0</v>
      </c>
      <c r="E207" s="36">
        <v>0</v>
      </c>
      <c r="F207" s="36">
        <v>0</v>
      </c>
      <c r="G207" s="35">
        <v>0</v>
      </c>
      <c r="H207" s="36">
        <v>0</v>
      </c>
      <c r="I207" s="35">
        <v>0</v>
      </c>
      <c r="J207" s="36">
        <v>0</v>
      </c>
      <c r="K207" s="36">
        <v>0</v>
      </c>
      <c r="L207" s="35">
        <v>0</v>
      </c>
      <c r="M207" s="36">
        <v>0</v>
      </c>
      <c r="N207" s="35">
        <v>0</v>
      </c>
      <c r="O207" s="35">
        <v>0</v>
      </c>
      <c r="P207" s="29">
        <v>9</v>
      </c>
      <c r="Q207" s="36">
        <v>0</v>
      </c>
      <c r="R207" s="35">
        <v>0</v>
      </c>
      <c r="S207" s="35">
        <v>0</v>
      </c>
      <c r="T207" s="36">
        <v>0</v>
      </c>
      <c r="U207" s="35">
        <v>0</v>
      </c>
      <c r="V207" s="36">
        <v>0</v>
      </c>
      <c r="W207" s="36">
        <v>0</v>
      </c>
      <c r="X207" s="29">
        <v>6</v>
      </c>
      <c r="Y207" s="36">
        <v>0</v>
      </c>
      <c r="Z207" s="35">
        <v>0</v>
      </c>
      <c r="AA207" s="36">
        <v>0</v>
      </c>
      <c r="AB207" s="36">
        <v>0</v>
      </c>
      <c r="AC207" s="35">
        <v>0</v>
      </c>
    </row>
    <row r="208" spans="1:29" x14ac:dyDescent="0.3">
      <c r="A208" s="27" t="s">
        <v>310</v>
      </c>
      <c r="B208" s="35">
        <v>0</v>
      </c>
      <c r="C208" s="36">
        <v>0</v>
      </c>
      <c r="D208" s="35">
        <v>0</v>
      </c>
      <c r="E208" s="36">
        <v>0</v>
      </c>
      <c r="F208" s="36">
        <v>0</v>
      </c>
      <c r="G208" s="35">
        <v>0</v>
      </c>
      <c r="H208" s="36">
        <v>0</v>
      </c>
      <c r="I208" s="29">
        <v>60</v>
      </c>
      <c r="J208" s="34">
        <v>180</v>
      </c>
      <c r="K208" s="36">
        <v>0</v>
      </c>
      <c r="L208" s="35">
        <v>0</v>
      </c>
      <c r="M208" s="36">
        <v>0</v>
      </c>
      <c r="N208" s="35">
        <v>0</v>
      </c>
      <c r="O208" s="35">
        <v>0</v>
      </c>
      <c r="P208" s="29">
        <v>27</v>
      </c>
      <c r="Q208" s="36">
        <v>0</v>
      </c>
      <c r="R208" s="35">
        <v>0</v>
      </c>
      <c r="S208" s="35">
        <v>0</v>
      </c>
      <c r="T208" s="34">
        <v>5</v>
      </c>
      <c r="U208" s="35">
        <v>0</v>
      </c>
      <c r="V208" s="36">
        <v>0</v>
      </c>
      <c r="W208" s="36">
        <v>0</v>
      </c>
      <c r="X208" s="35">
        <v>0</v>
      </c>
      <c r="Y208" s="36">
        <v>0</v>
      </c>
      <c r="Z208" s="35">
        <v>0</v>
      </c>
      <c r="AA208" s="36">
        <v>0</v>
      </c>
      <c r="AB208" s="34">
        <v>10</v>
      </c>
      <c r="AC208" s="29">
        <v>7</v>
      </c>
    </row>
    <row r="209" spans="1:29" x14ac:dyDescent="0.3">
      <c r="A209" s="27" t="s">
        <v>311</v>
      </c>
      <c r="B209" s="35">
        <v>0</v>
      </c>
      <c r="C209" s="34">
        <v>20</v>
      </c>
      <c r="D209" s="29">
        <v>29</v>
      </c>
      <c r="E209" s="36">
        <v>0</v>
      </c>
      <c r="F209" s="34">
        <v>200</v>
      </c>
      <c r="G209" s="29">
        <v>120</v>
      </c>
      <c r="H209" s="36">
        <v>0</v>
      </c>
      <c r="I209" s="35">
        <v>0</v>
      </c>
      <c r="J209" s="36">
        <v>0</v>
      </c>
      <c r="K209" s="36">
        <v>0</v>
      </c>
      <c r="L209" s="35">
        <v>0</v>
      </c>
      <c r="M209" s="36">
        <v>0</v>
      </c>
      <c r="N209" s="29">
        <v>50</v>
      </c>
      <c r="O209" s="35">
        <v>0</v>
      </c>
      <c r="P209" s="29">
        <v>32</v>
      </c>
      <c r="Q209" s="36">
        <v>0</v>
      </c>
      <c r="R209" s="35">
        <v>0</v>
      </c>
      <c r="S209" s="35">
        <v>0</v>
      </c>
      <c r="T209" s="34">
        <v>21</v>
      </c>
      <c r="U209" s="29">
        <v>36</v>
      </c>
      <c r="V209" s="36">
        <v>0</v>
      </c>
      <c r="W209" s="36">
        <v>0</v>
      </c>
      <c r="X209" s="35">
        <v>0</v>
      </c>
      <c r="Y209" s="36">
        <v>0</v>
      </c>
      <c r="Z209" s="35">
        <v>0</v>
      </c>
      <c r="AA209" s="36">
        <v>0</v>
      </c>
      <c r="AB209" s="34">
        <v>15</v>
      </c>
      <c r="AC209" s="35">
        <v>0</v>
      </c>
    </row>
    <row r="210" spans="1:29" x14ac:dyDescent="0.3">
      <c r="A210" s="27" t="s">
        <v>312</v>
      </c>
      <c r="B210" s="35">
        <v>0</v>
      </c>
      <c r="C210" s="36">
        <v>0</v>
      </c>
      <c r="D210" s="35">
        <v>0</v>
      </c>
      <c r="E210" s="36">
        <v>0</v>
      </c>
      <c r="F210" s="36">
        <v>0</v>
      </c>
      <c r="G210" s="35">
        <v>0</v>
      </c>
      <c r="H210" s="36">
        <v>0</v>
      </c>
      <c r="I210" s="35">
        <v>0</v>
      </c>
      <c r="J210" s="36">
        <v>0</v>
      </c>
      <c r="K210" s="36">
        <v>0</v>
      </c>
      <c r="L210" s="35">
        <v>0</v>
      </c>
      <c r="M210" s="36">
        <v>0</v>
      </c>
      <c r="N210" s="35">
        <v>0</v>
      </c>
      <c r="O210" s="35">
        <v>0</v>
      </c>
      <c r="P210" s="35">
        <v>0</v>
      </c>
      <c r="Q210" s="36">
        <v>0</v>
      </c>
      <c r="R210" s="35">
        <v>0</v>
      </c>
      <c r="S210" s="35">
        <v>0</v>
      </c>
      <c r="T210" s="36">
        <v>0</v>
      </c>
      <c r="U210" s="35">
        <v>0</v>
      </c>
      <c r="V210" s="36">
        <v>0</v>
      </c>
      <c r="W210" s="36">
        <v>0</v>
      </c>
      <c r="X210" s="29">
        <v>6</v>
      </c>
      <c r="Y210" s="36">
        <v>0</v>
      </c>
      <c r="Z210" s="35">
        <v>0</v>
      </c>
      <c r="AA210" s="36">
        <v>0</v>
      </c>
      <c r="AB210" s="36">
        <v>0</v>
      </c>
      <c r="AC210" s="35">
        <v>0</v>
      </c>
    </row>
    <row r="211" spans="1:29" x14ac:dyDescent="0.3">
      <c r="A211" s="27" t="s">
        <v>313</v>
      </c>
      <c r="B211" s="35">
        <v>0</v>
      </c>
      <c r="C211" s="36">
        <v>0</v>
      </c>
      <c r="D211" s="35">
        <v>0</v>
      </c>
      <c r="E211" s="36">
        <v>0</v>
      </c>
      <c r="F211" s="36">
        <v>0</v>
      </c>
      <c r="G211" s="35">
        <v>0</v>
      </c>
      <c r="H211" s="36">
        <v>0</v>
      </c>
      <c r="I211" s="35">
        <v>0</v>
      </c>
      <c r="J211" s="34">
        <v>100</v>
      </c>
      <c r="K211" s="34">
        <v>67</v>
      </c>
      <c r="L211" s="35">
        <v>0</v>
      </c>
      <c r="M211" s="36">
        <v>0</v>
      </c>
      <c r="N211" s="35">
        <v>0</v>
      </c>
      <c r="O211" s="35">
        <v>0</v>
      </c>
      <c r="P211" s="35">
        <v>0</v>
      </c>
      <c r="Q211" s="36">
        <v>0</v>
      </c>
      <c r="R211" s="35">
        <v>0</v>
      </c>
      <c r="S211" s="29">
        <v>7</v>
      </c>
      <c r="T211" s="36">
        <v>0</v>
      </c>
      <c r="U211" s="35">
        <v>0</v>
      </c>
      <c r="V211" s="36">
        <v>0</v>
      </c>
      <c r="W211" s="36">
        <v>0</v>
      </c>
      <c r="X211" s="35">
        <v>0</v>
      </c>
      <c r="Y211" s="36">
        <v>0</v>
      </c>
      <c r="Z211" s="35">
        <v>0</v>
      </c>
      <c r="AA211" s="36">
        <v>0</v>
      </c>
      <c r="AB211" s="36">
        <v>0</v>
      </c>
      <c r="AC211" s="35">
        <v>0</v>
      </c>
    </row>
    <row r="212" spans="1:29" x14ac:dyDescent="0.3">
      <c r="A212" s="27" t="s">
        <v>314</v>
      </c>
      <c r="B212" s="35">
        <v>0</v>
      </c>
      <c r="C212" s="36">
        <v>0</v>
      </c>
      <c r="D212" s="35">
        <v>0</v>
      </c>
      <c r="E212" s="36">
        <v>0</v>
      </c>
      <c r="F212" s="36">
        <v>0</v>
      </c>
      <c r="G212" s="35">
        <v>0</v>
      </c>
      <c r="H212" s="36">
        <v>0</v>
      </c>
      <c r="I212" s="35">
        <v>0</v>
      </c>
      <c r="J212" s="36">
        <v>0</v>
      </c>
      <c r="K212" s="36">
        <v>0</v>
      </c>
      <c r="L212" s="35">
        <v>0</v>
      </c>
      <c r="M212" s="36">
        <v>0</v>
      </c>
      <c r="N212" s="35">
        <v>0</v>
      </c>
      <c r="O212" s="35">
        <v>0</v>
      </c>
      <c r="P212" s="35">
        <v>0</v>
      </c>
      <c r="Q212" s="36">
        <v>0</v>
      </c>
      <c r="R212" s="35">
        <v>0</v>
      </c>
      <c r="S212" s="35">
        <v>0</v>
      </c>
      <c r="T212" s="36">
        <v>0</v>
      </c>
      <c r="U212" s="35">
        <v>0</v>
      </c>
      <c r="V212" s="36">
        <v>0</v>
      </c>
      <c r="W212" s="36">
        <v>0</v>
      </c>
      <c r="X212" s="35">
        <v>0</v>
      </c>
      <c r="Y212" s="36">
        <v>0</v>
      </c>
      <c r="Z212" s="35">
        <v>0</v>
      </c>
      <c r="AA212" s="36">
        <v>0</v>
      </c>
      <c r="AB212" s="36">
        <v>0</v>
      </c>
      <c r="AC212" s="35">
        <v>0</v>
      </c>
    </row>
    <row r="213" spans="1:29" x14ac:dyDescent="0.3">
      <c r="A213" s="27" t="s">
        <v>315</v>
      </c>
      <c r="B213" s="35">
        <v>0</v>
      </c>
      <c r="C213" s="34">
        <v>30</v>
      </c>
      <c r="D213" s="35">
        <v>0</v>
      </c>
      <c r="E213" s="36">
        <v>0</v>
      </c>
      <c r="F213" s="36">
        <v>0</v>
      </c>
      <c r="G213" s="35">
        <v>0</v>
      </c>
      <c r="H213" s="36">
        <v>0</v>
      </c>
      <c r="I213" s="35">
        <v>0</v>
      </c>
      <c r="J213" s="36">
        <v>0</v>
      </c>
      <c r="K213" s="36">
        <v>0</v>
      </c>
      <c r="L213" s="35">
        <v>0</v>
      </c>
      <c r="M213" s="36">
        <v>0</v>
      </c>
      <c r="N213" s="35">
        <v>0</v>
      </c>
      <c r="O213" s="35">
        <v>0</v>
      </c>
      <c r="P213" s="35">
        <v>0</v>
      </c>
      <c r="Q213" s="36">
        <v>0</v>
      </c>
      <c r="R213" s="35">
        <v>0</v>
      </c>
      <c r="S213" s="35">
        <v>0</v>
      </c>
      <c r="T213" s="36">
        <v>0</v>
      </c>
      <c r="U213" s="35">
        <v>0</v>
      </c>
      <c r="V213" s="36">
        <v>0</v>
      </c>
      <c r="W213" s="36">
        <v>0</v>
      </c>
      <c r="X213" s="35">
        <v>0</v>
      </c>
      <c r="Y213" s="36">
        <v>0</v>
      </c>
      <c r="Z213" s="35">
        <v>0</v>
      </c>
      <c r="AA213" s="36">
        <v>0</v>
      </c>
      <c r="AB213" s="36">
        <v>0</v>
      </c>
      <c r="AC213" s="29">
        <v>7</v>
      </c>
    </row>
    <row r="214" spans="1:29" x14ac:dyDescent="0.3">
      <c r="A214" s="27" t="s">
        <v>316</v>
      </c>
      <c r="B214" s="35">
        <v>0</v>
      </c>
      <c r="C214" s="34">
        <v>10</v>
      </c>
      <c r="D214" s="29">
        <v>29</v>
      </c>
      <c r="E214" s="34">
        <v>29</v>
      </c>
      <c r="F214" s="36">
        <v>0</v>
      </c>
      <c r="G214" s="35">
        <v>0</v>
      </c>
      <c r="H214" s="36">
        <v>0</v>
      </c>
      <c r="I214" s="35">
        <v>0</v>
      </c>
      <c r="J214" s="36">
        <v>0</v>
      </c>
      <c r="K214" s="36">
        <v>0</v>
      </c>
      <c r="L214" s="35">
        <v>0</v>
      </c>
      <c r="M214" s="36">
        <v>0</v>
      </c>
      <c r="N214" s="29">
        <v>38</v>
      </c>
      <c r="O214" s="35">
        <v>0</v>
      </c>
      <c r="P214" s="35">
        <v>0</v>
      </c>
      <c r="Q214" s="34">
        <v>1</v>
      </c>
      <c r="R214" s="35">
        <v>0</v>
      </c>
      <c r="S214" s="35">
        <v>0</v>
      </c>
      <c r="T214" s="36">
        <v>0</v>
      </c>
      <c r="U214" s="35">
        <v>0</v>
      </c>
      <c r="V214" s="36">
        <v>0</v>
      </c>
      <c r="W214" s="36">
        <v>0</v>
      </c>
      <c r="X214" s="35">
        <v>0</v>
      </c>
      <c r="Y214" s="36">
        <v>0</v>
      </c>
      <c r="Z214" s="35">
        <v>0</v>
      </c>
      <c r="AA214" s="36">
        <v>0</v>
      </c>
      <c r="AB214" s="36">
        <v>0</v>
      </c>
      <c r="AC214" s="35">
        <v>0</v>
      </c>
    </row>
    <row r="215" spans="1:29" x14ac:dyDescent="0.3">
      <c r="A215" s="27" t="s">
        <v>317</v>
      </c>
      <c r="B215" s="29">
        <v>367</v>
      </c>
      <c r="C215" s="34">
        <v>320</v>
      </c>
      <c r="D215" s="29">
        <v>343</v>
      </c>
      <c r="E215" s="34">
        <v>314</v>
      </c>
      <c r="F215" s="34">
        <v>380</v>
      </c>
      <c r="G215" s="29">
        <v>160</v>
      </c>
      <c r="H215" s="34">
        <v>300</v>
      </c>
      <c r="I215" s="29">
        <v>80</v>
      </c>
      <c r="J215" s="36">
        <v>0</v>
      </c>
      <c r="K215" s="34">
        <v>167</v>
      </c>
      <c r="L215" s="29">
        <v>1900</v>
      </c>
      <c r="M215" s="34">
        <v>80</v>
      </c>
      <c r="N215" s="29">
        <v>100</v>
      </c>
      <c r="O215" s="29">
        <v>1033</v>
      </c>
      <c r="P215" s="29">
        <v>23</v>
      </c>
      <c r="Q215" s="34">
        <v>6</v>
      </c>
      <c r="R215" s="35">
        <v>0</v>
      </c>
      <c r="S215" s="35">
        <v>0</v>
      </c>
      <c r="T215" s="34">
        <v>5</v>
      </c>
      <c r="U215" s="29">
        <v>164</v>
      </c>
      <c r="V215" s="34">
        <v>4</v>
      </c>
      <c r="W215" s="34">
        <v>50</v>
      </c>
      <c r="X215" s="29">
        <v>19</v>
      </c>
      <c r="Y215" s="34">
        <v>47</v>
      </c>
      <c r="Z215" s="29">
        <v>31</v>
      </c>
      <c r="AA215" s="34">
        <v>3</v>
      </c>
      <c r="AB215" s="34">
        <v>10</v>
      </c>
      <c r="AC215" s="29">
        <v>257</v>
      </c>
    </row>
    <row r="216" spans="1:29" x14ac:dyDescent="0.3">
      <c r="A216" s="27" t="s">
        <v>318</v>
      </c>
      <c r="B216" s="35">
        <v>0</v>
      </c>
      <c r="C216" s="36">
        <v>0</v>
      </c>
      <c r="D216" s="35">
        <v>0</v>
      </c>
      <c r="E216" s="36">
        <v>0</v>
      </c>
      <c r="F216" s="36">
        <v>0</v>
      </c>
      <c r="G216" s="35">
        <v>0</v>
      </c>
      <c r="H216" s="36">
        <v>0</v>
      </c>
      <c r="I216" s="35">
        <v>0</v>
      </c>
      <c r="J216" s="36">
        <v>0</v>
      </c>
      <c r="K216" s="36">
        <v>0</v>
      </c>
      <c r="L216" s="35">
        <v>0</v>
      </c>
      <c r="M216" s="36">
        <v>0</v>
      </c>
      <c r="N216" s="35">
        <v>0</v>
      </c>
      <c r="O216" s="35">
        <v>0</v>
      </c>
      <c r="P216" s="35">
        <v>0</v>
      </c>
      <c r="Q216" s="36">
        <v>0</v>
      </c>
      <c r="R216" s="35">
        <v>0</v>
      </c>
      <c r="S216" s="35">
        <v>0</v>
      </c>
      <c r="T216" s="36">
        <v>0</v>
      </c>
      <c r="U216" s="35">
        <v>0</v>
      </c>
      <c r="V216" s="36">
        <v>0</v>
      </c>
      <c r="W216" s="36">
        <v>0</v>
      </c>
      <c r="X216" s="35">
        <v>0</v>
      </c>
      <c r="Y216" s="36">
        <v>0</v>
      </c>
      <c r="Z216" s="35">
        <v>0</v>
      </c>
      <c r="AA216" s="36">
        <v>0</v>
      </c>
      <c r="AB216" s="36">
        <v>0</v>
      </c>
      <c r="AC216" s="35">
        <v>0</v>
      </c>
    </row>
    <row r="217" spans="1:29" x14ac:dyDescent="0.3">
      <c r="A217" s="21" t="s">
        <v>319</v>
      </c>
      <c r="B217" s="35">
        <v>0</v>
      </c>
      <c r="C217" s="36">
        <v>0</v>
      </c>
      <c r="D217" s="35">
        <v>0</v>
      </c>
      <c r="E217" s="36">
        <v>0</v>
      </c>
      <c r="F217" s="36">
        <v>0</v>
      </c>
      <c r="G217" s="35">
        <v>0</v>
      </c>
      <c r="H217" s="36">
        <v>0</v>
      </c>
      <c r="I217" s="35">
        <v>0</v>
      </c>
      <c r="J217" s="36">
        <v>0</v>
      </c>
      <c r="K217" s="36">
        <v>0</v>
      </c>
      <c r="L217" s="35">
        <v>0</v>
      </c>
      <c r="M217" s="36">
        <v>0</v>
      </c>
      <c r="N217" s="35">
        <v>0</v>
      </c>
      <c r="O217" s="35">
        <v>0</v>
      </c>
      <c r="P217" s="35">
        <v>0</v>
      </c>
      <c r="Q217" s="36">
        <v>0</v>
      </c>
      <c r="R217" s="35">
        <v>0</v>
      </c>
      <c r="S217" s="35">
        <v>0</v>
      </c>
      <c r="T217" s="36">
        <v>0</v>
      </c>
      <c r="U217" s="35">
        <v>0</v>
      </c>
      <c r="V217" s="36">
        <v>0</v>
      </c>
      <c r="W217" s="36">
        <v>0</v>
      </c>
      <c r="X217" s="35">
        <v>0</v>
      </c>
      <c r="Y217" s="36">
        <v>0</v>
      </c>
      <c r="Z217" s="35">
        <v>0</v>
      </c>
      <c r="AA217" s="36">
        <v>0</v>
      </c>
      <c r="AB217" s="36">
        <v>0</v>
      </c>
      <c r="AC217" s="35">
        <v>0</v>
      </c>
    </row>
    <row r="218" spans="1:29" x14ac:dyDescent="0.3">
      <c r="A218" s="27" t="s">
        <v>320</v>
      </c>
      <c r="B218" s="29">
        <v>11</v>
      </c>
      <c r="C218" s="34">
        <v>10</v>
      </c>
      <c r="D218" s="35">
        <v>0</v>
      </c>
      <c r="E218" s="36">
        <v>0</v>
      </c>
      <c r="F218" s="36">
        <v>0</v>
      </c>
      <c r="G218" s="29">
        <v>20</v>
      </c>
      <c r="H218" s="34">
        <v>20</v>
      </c>
      <c r="I218" s="35">
        <v>0</v>
      </c>
      <c r="J218" s="36">
        <v>0</v>
      </c>
      <c r="K218" s="36">
        <v>0</v>
      </c>
      <c r="L218" s="35">
        <v>0</v>
      </c>
      <c r="M218" s="36">
        <v>0</v>
      </c>
      <c r="N218" s="35">
        <v>0</v>
      </c>
      <c r="O218" s="35">
        <v>0</v>
      </c>
      <c r="P218" s="35">
        <v>0</v>
      </c>
      <c r="Q218" s="36">
        <v>0</v>
      </c>
      <c r="R218" s="35">
        <v>0</v>
      </c>
      <c r="S218" s="35">
        <v>0</v>
      </c>
      <c r="T218" s="36">
        <v>0</v>
      </c>
      <c r="U218" s="35">
        <v>0</v>
      </c>
      <c r="V218" s="36">
        <v>0</v>
      </c>
      <c r="W218" s="36">
        <v>0</v>
      </c>
      <c r="X218" s="35">
        <v>0</v>
      </c>
      <c r="Y218" s="36">
        <v>0</v>
      </c>
      <c r="Z218" s="35">
        <v>0</v>
      </c>
      <c r="AA218" s="36">
        <v>0</v>
      </c>
      <c r="AB218" s="36">
        <v>0</v>
      </c>
      <c r="AC218" s="35">
        <v>0</v>
      </c>
    </row>
    <row r="219" spans="1:29" x14ac:dyDescent="0.3">
      <c r="A219" s="27" t="s">
        <v>321</v>
      </c>
      <c r="B219" s="35">
        <v>0</v>
      </c>
      <c r="C219" s="36">
        <v>0</v>
      </c>
      <c r="D219" s="35">
        <v>0</v>
      </c>
      <c r="E219" s="36">
        <v>0</v>
      </c>
      <c r="F219" s="36">
        <v>0</v>
      </c>
      <c r="G219" s="35">
        <v>0</v>
      </c>
      <c r="H219" s="36">
        <v>0</v>
      </c>
      <c r="I219" s="35">
        <v>0</v>
      </c>
      <c r="J219" s="36">
        <v>0</v>
      </c>
      <c r="K219" s="36">
        <v>0</v>
      </c>
      <c r="L219" s="35">
        <v>0</v>
      </c>
      <c r="M219" s="36">
        <v>0</v>
      </c>
      <c r="N219" s="35">
        <v>0</v>
      </c>
      <c r="O219" s="35">
        <v>0</v>
      </c>
      <c r="P219" s="35">
        <v>0</v>
      </c>
      <c r="Q219" s="36">
        <v>0</v>
      </c>
      <c r="R219" s="35">
        <v>0</v>
      </c>
      <c r="S219" s="35">
        <v>0</v>
      </c>
      <c r="T219" s="36">
        <v>0</v>
      </c>
      <c r="U219" s="29">
        <v>9</v>
      </c>
      <c r="V219" s="36">
        <v>0</v>
      </c>
      <c r="W219" s="36">
        <v>0</v>
      </c>
      <c r="X219" s="35">
        <v>0</v>
      </c>
      <c r="Y219" s="34">
        <v>6</v>
      </c>
      <c r="Z219" s="29">
        <v>6</v>
      </c>
      <c r="AA219" s="36">
        <v>0</v>
      </c>
      <c r="AB219" s="36">
        <v>0</v>
      </c>
      <c r="AC219" s="29">
        <v>7</v>
      </c>
    </row>
    <row r="220" spans="1:29" x14ac:dyDescent="0.3">
      <c r="A220" s="21" t="s">
        <v>322</v>
      </c>
      <c r="B220" s="29">
        <v>11</v>
      </c>
      <c r="C220" s="36">
        <v>0</v>
      </c>
      <c r="D220" s="35">
        <v>0</v>
      </c>
      <c r="E220" s="36">
        <v>0</v>
      </c>
      <c r="F220" s="36">
        <v>0</v>
      </c>
      <c r="G220" s="35">
        <v>0</v>
      </c>
      <c r="H220" s="36">
        <v>0</v>
      </c>
      <c r="I220" s="35">
        <v>0</v>
      </c>
      <c r="J220" s="36">
        <v>0</v>
      </c>
      <c r="K220" s="36">
        <v>0</v>
      </c>
      <c r="L220" s="35">
        <v>0</v>
      </c>
      <c r="M220" s="36">
        <v>0</v>
      </c>
      <c r="N220" s="35">
        <v>0</v>
      </c>
      <c r="O220" s="35">
        <v>0</v>
      </c>
      <c r="P220" s="35">
        <v>0</v>
      </c>
      <c r="Q220" s="36">
        <v>0</v>
      </c>
      <c r="R220" s="35">
        <v>0</v>
      </c>
      <c r="S220" s="35">
        <v>0</v>
      </c>
      <c r="T220" s="36">
        <v>0</v>
      </c>
      <c r="U220" s="35">
        <v>0</v>
      </c>
      <c r="V220" s="36">
        <v>0</v>
      </c>
      <c r="W220" s="36">
        <v>0</v>
      </c>
      <c r="X220" s="35">
        <v>0</v>
      </c>
      <c r="Y220" s="36">
        <v>0</v>
      </c>
      <c r="Z220" s="35">
        <v>0</v>
      </c>
      <c r="AA220" s="36">
        <v>0</v>
      </c>
      <c r="AB220" s="36">
        <v>0</v>
      </c>
      <c r="AC220" s="35">
        <v>0</v>
      </c>
    </row>
    <row r="221" spans="1:29" x14ac:dyDescent="0.3">
      <c r="A221" s="21" t="s">
        <v>323</v>
      </c>
      <c r="B221" s="35">
        <v>0</v>
      </c>
      <c r="C221" s="36">
        <v>0</v>
      </c>
      <c r="D221" s="35">
        <v>0</v>
      </c>
      <c r="E221" s="36">
        <v>0</v>
      </c>
      <c r="F221" s="36">
        <v>0</v>
      </c>
      <c r="G221" s="35">
        <v>0</v>
      </c>
      <c r="H221" s="36">
        <v>0</v>
      </c>
      <c r="I221" s="35">
        <v>0</v>
      </c>
      <c r="J221" s="36">
        <v>0</v>
      </c>
      <c r="K221" s="36">
        <v>0</v>
      </c>
      <c r="L221" s="35">
        <v>0</v>
      </c>
      <c r="M221" s="36">
        <v>0</v>
      </c>
      <c r="N221" s="35">
        <v>0</v>
      </c>
      <c r="O221" s="35">
        <v>0</v>
      </c>
      <c r="P221" s="35">
        <v>0</v>
      </c>
      <c r="Q221" s="36">
        <v>0</v>
      </c>
      <c r="R221" s="35">
        <v>0</v>
      </c>
      <c r="S221" s="35">
        <v>0</v>
      </c>
      <c r="T221" s="36">
        <v>0</v>
      </c>
      <c r="U221" s="35">
        <v>0</v>
      </c>
      <c r="V221" s="36">
        <v>0</v>
      </c>
      <c r="W221" s="36">
        <v>0</v>
      </c>
      <c r="X221" s="35">
        <v>0</v>
      </c>
      <c r="Y221" s="36">
        <v>0</v>
      </c>
      <c r="Z221" s="35">
        <v>0</v>
      </c>
      <c r="AA221" s="36">
        <v>0</v>
      </c>
      <c r="AB221" s="36">
        <v>0</v>
      </c>
      <c r="AC221" s="35">
        <v>0</v>
      </c>
    </row>
    <row r="222" spans="1:29" x14ac:dyDescent="0.3">
      <c r="A222" s="21" t="s">
        <v>324</v>
      </c>
      <c r="B222" s="35">
        <v>0</v>
      </c>
      <c r="C222" s="36">
        <v>0</v>
      </c>
      <c r="D222" s="35">
        <v>0</v>
      </c>
      <c r="E222" s="36">
        <v>0</v>
      </c>
      <c r="F222" s="36">
        <v>0</v>
      </c>
      <c r="G222" s="35">
        <v>0</v>
      </c>
      <c r="H222" s="36">
        <v>0</v>
      </c>
      <c r="I222" s="35">
        <v>0</v>
      </c>
      <c r="J222" s="36">
        <v>0</v>
      </c>
      <c r="K222" s="36">
        <v>0</v>
      </c>
      <c r="L222" s="35">
        <v>0</v>
      </c>
      <c r="M222" s="36">
        <v>0</v>
      </c>
      <c r="N222" s="35">
        <v>0</v>
      </c>
      <c r="O222" s="35">
        <v>0</v>
      </c>
      <c r="P222" s="35">
        <v>0</v>
      </c>
      <c r="Q222" s="36">
        <v>0</v>
      </c>
      <c r="R222" s="35">
        <v>0</v>
      </c>
      <c r="S222" s="35">
        <v>0</v>
      </c>
      <c r="T222" s="36">
        <v>0</v>
      </c>
      <c r="U222" s="35">
        <v>0</v>
      </c>
      <c r="V222" s="36">
        <v>0</v>
      </c>
      <c r="W222" s="36">
        <v>0</v>
      </c>
      <c r="X222" s="35">
        <v>0</v>
      </c>
      <c r="Y222" s="36">
        <v>0</v>
      </c>
      <c r="Z222" s="35">
        <v>0</v>
      </c>
      <c r="AA222" s="36">
        <v>0</v>
      </c>
      <c r="AB222" s="36">
        <v>0</v>
      </c>
      <c r="AC222" s="35">
        <v>0</v>
      </c>
    </row>
    <row r="223" spans="1:29" x14ac:dyDescent="0.3">
      <c r="A223" s="27" t="s">
        <v>325</v>
      </c>
      <c r="B223" s="35">
        <v>0</v>
      </c>
      <c r="C223" s="36">
        <v>0</v>
      </c>
      <c r="D223" s="29">
        <v>14</v>
      </c>
      <c r="E223" s="36">
        <v>0</v>
      </c>
      <c r="F223" s="36">
        <v>0</v>
      </c>
      <c r="G223" s="35">
        <v>0</v>
      </c>
      <c r="H223" s="36">
        <v>0</v>
      </c>
      <c r="I223" s="35">
        <v>0</v>
      </c>
      <c r="J223" s="36">
        <v>0</v>
      </c>
      <c r="K223" s="36">
        <v>0</v>
      </c>
      <c r="L223" s="35">
        <v>0</v>
      </c>
      <c r="M223" s="36">
        <v>0</v>
      </c>
      <c r="N223" s="35">
        <v>0</v>
      </c>
      <c r="O223" s="35">
        <v>0</v>
      </c>
      <c r="P223" s="29">
        <v>9</v>
      </c>
      <c r="Q223" s="36">
        <v>0</v>
      </c>
      <c r="R223" s="35">
        <v>0</v>
      </c>
      <c r="S223" s="35">
        <v>0</v>
      </c>
      <c r="T223" s="36">
        <v>0</v>
      </c>
      <c r="U223" s="35">
        <v>0</v>
      </c>
      <c r="V223" s="36">
        <v>0</v>
      </c>
      <c r="W223" s="36">
        <v>0</v>
      </c>
      <c r="X223" s="35">
        <v>0</v>
      </c>
      <c r="Y223" s="36">
        <v>0</v>
      </c>
      <c r="Z223" s="35">
        <v>0</v>
      </c>
      <c r="AA223" s="36">
        <v>0</v>
      </c>
      <c r="AB223" s="36">
        <v>0</v>
      </c>
      <c r="AC223" s="29">
        <v>7</v>
      </c>
    </row>
    <row r="224" spans="1:29" x14ac:dyDescent="0.3">
      <c r="A224" s="27" t="s">
        <v>326</v>
      </c>
      <c r="B224" s="35">
        <v>0</v>
      </c>
      <c r="C224" s="36">
        <v>0</v>
      </c>
      <c r="D224" s="35">
        <v>0</v>
      </c>
      <c r="E224" s="36">
        <v>0</v>
      </c>
      <c r="F224" s="36">
        <v>0</v>
      </c>
      <c r="G224" s="35">
        <v>0</v>
      </c>
      <c r="H224" s="36">
        <v>0</v>
      </c>
      <c r="I224" s="35">
        <v>0</v>
      </c>
      <c r="J224" s="36">
        <v>0</v>
      </c>
      <c r="K224" s="36">
        <v>0</v>
      </c>
      <c r="L224" s="35">
        <v>0</v>
      </c>
      <c r="M224" s="36">
        <v>0</v>
      </c>
      <c r="N224" s="35">
        <v>0</v>
      </c>
      <c r="O224" s="35">
        <v>0</v>
      </c>
      <c r="P224" s="35">
        <v>0</v>
      </c>
      <c r="Q224" s="36">
        <v>0</v>
      </c>
      <c r="R224" s="35">
        <v>0</v>
      </c>
      <c r="S224" s="35">
        <v>0</v>
      </c>
      <c r="T224" s="36">
        <v>0</v>
      </c>
      <c r="U224" s="35">
        <v>0</v>
      </c>
      <c r="V224" s="36">
        <v>0</v>
      </c>
      <c r="W224" s="36">
        <v>0</v>
      </c>
      <c r="X224" s="35">
        <v>0</v>
      </c>
      <c r="Y224" s="36">
        <v>0</v>
      </c>
      <c r="Z224" s="35">
        <v>0</v>
      </c>
      <c r="AA224" s="36">
        <v>0</v>
      </c>
      <c r="AB224" s="36">
        <v>0</v>
      </c>
      <c r="AC224" s="35">
        <v>0</v>
      </c>
    </row>
    <row r="225" spans="1:29" x14ac:dyDescent="0.3">
      <c r="A225" s="27" t="s">
        <v>327</v>
      </c>
      <c r="B225" s="35">
        <v>0</v>
      </c>
      <c r="C225" s="36">
        <v>0</v>
      </c>
      <c r="D225" s="35">
        <v>0</v>
      </c>
      <c r="E225" s="36">
        <v>0</v>
      </c>
      <c r="F225" s="36">
        <v>0</v>
      </c>
      <c r="G225" s="35">
        <v>0</v>
      </c>
      <c r="H225" s="36">
        <v>0</v>
      </c>
      <c r="I225" s="35">
        <v>0</v>
      </c>
      <c r="J225" s="36">
        <v>0</v>
      </c>
      <c r="K225" s="36">
        <v>0</v>
      </c>
      <c r="L225" s="35">
        <v>0</v>
      </c>
      <c r="M225" s="36">
        <v>0</v>
      </c>
      <c r="N225" s="35">
        <v>0</v>
      </c>
      <c r="O225" s="35">
        <v>0</v>
      </c>
      <c r="P225" s="35">
        <v>0</v>
      </c>
      <c r="Q225" s="36">
        <v>0</v>
      </c>
      <c r="R225" s="35">
        <v>0</v>
      </c>
      <c r="S225" s="29">
        <v>4</v>
      </c>
      <c r="T225" s="36">
        <v>0</v>
      </c>
      <c r="U225" s="35">
        <v>0</v>
      </c>
      <c r="V225" s="36">
        <v>0</v>
      </c>
      <c r="W225" s="36">
        <v>0</v>
      </c>
      <c r="X225" s="35">
        <v>0</v>
      </c>
      <c r="Y225" s="36">
        <v>0</v>
      </c>
      <c r="Z225" s="35">
        <v>0</v>
      </c>
      <c r="AA225" s="36">
        <v>0</v>
      </c>
      <c r="AB225" s="36">
        <v>0</v>
      </c>
      <c r="AC225" s="35">
        <v>0</v>
      </c>
    </row>
    <row r="226" spans="1:29" x14ac:dyDescent="0.3">
      <c r="A226" s="27" t="s">
        <v>328</v>
      </c>
      <c r="B226" s="35">
        <v>0</v>
      </c>
      <c r="C226" s="36">
        <v>0</v>
      </c>
      <c r="D226" s="35">
        <v>0</v>
      </c>
      <c r="E226" s="36">
        <v>0</v>
      </c>
      <c r="F226" s="34">
        <v>120</v>
      </c>
      <c r="G226" s="35">
        <v>0</v>
      </c>
      <c r="H226" s="36">
        <v>0</v>
      </c>
      <c r="I226" s="35">
        <v>0</v>
      </c>
      <c r="J226" s="36">
        <v>0</v>
      </c>
      <c r="K226" s="36">
        <v>0</v>
      </c>
      <c r="L226" s="29">
        <v>20</v>
      </c>
      <c r="M226" s="36">
        <v>0</v>
      </c>
      <c r="N226" s="35">
        <v>0</v>
      </c>
      <c r="O226" s="29">
        <v>50</v>
      </c>
      <c r="P226" s="35">
        <v>0</v>
      </c>
      <c r="Q226" s="36">
        <v>0</v>
      </c>
      <c r="R226" s="35">
        <v>0</v>
      </c>
      <c r="S226" s="35">
        <v>0</v>
      </c>
      <c r="T226" s="36">
        <v>0</v>
      </c>
      <c r="U226" s="35">
        <v>0</v>
      </c>
      <c r="V226" s="36">
        <v>0</v>
      </c>
      <c r="W226" s="36">
        <v>0</v>
      </c>
      <c r="X226" s="35">
        <v>0</v>
      </c>
      <c r="Y226" s="36">
        <v>0</v>
      </c>
      <c r="Z226" s="35">
        <v>0</v>
      </c>
      <c r="AA226" s="36">
        <v>0</v>
      </c>
      <c r="AB226" s="36">
        <v>0</v>
      </c>
      <c r="AC226" s="35">
        <v>0</v>
      </c>
    </row>
    <row r="227" spans="1:29" x14ac:dyDescent="0.3">
      <c r="A227" s="27" t="s">
        <v>329</v>
      </c>
      <c r="B227" s="35">
        <v>0</v>
      </c>
      <c r="C227" s="34">
        <v>90</v>
      </c>
      <c r="D227" s="29">
        <v>43</v>
      </c>
      <c r="E227" s="34">
        <v>400</v>
      </c>
      <c r="F227" s="34">
        <v>720</v>
      </c>
      <c r="G227" s="29">
        <v>160</v>
      </c>
      <c r="H227" s="34">
        <v>260</v>
      </c>
      <c r="I227" s="29">
        <v>90</v>
      </c>
      <c r="J227" s="34">
        <v>140</v>
      </c>
      <c r="K227" s="34">
        <v>433</v>
      </c>
      <c r="L227" s="29">
        <v>160</v>
      </c>
      <c r="M227" s="34">
        <v>140</v>
      </c>
      <c r="N227" s="29">
        <v>88</v>
      </c>
      <c r="O227" s="29">
        <v>283</v>
      </c>
      <c r="P227" s="35">
        <v>0</v>
      </c>
      <c r="Q227" s="34">
        <v>1</v>
      </c>
      <c r="R227" s="35">
        <v>0</v>
      </c>
      <c r="S227" s="35">
        <v>0</v>
      </c>
      <c r="T227" s="36">
        <v>0</v>
      </c>
      <c r="U227" s="35">
        <v>0</v>
      </c>
      <c r="V227" s="36">
        <v>0</v>
      </c>
      <c r="W227" s="36">
        <v>0</v>
      </c>
      <c r="X227" s="35">
        <v>0</v>
      </c>
      <c r="Y227" s="36">
        <v>0</v>
      </c>
      <c r="Z227" s="35">
        <v>0</v>
      </c>
      <c r="AA227" s="36">
        <v>0</v>
      </c>
      <c r="AB227" s="36">
        <v>0</v>
      </c>
      <c r="AC227" s="35">
        <v>0</v>
      </c>
    </row>
    <row r="228" spans="1:29" x14ac:dyDescent="0.3">
      <c r="A228" s="27" t="s">
        <v>330</v>
      </c>
      <c r="B228" s="35">
        <v>0</v>
      </c>
      <c r="C228" s="36">
        <v>0</v>
      </c>
      <c r="D228" s="35">
        <v>0</v>
      </c>
      <c r="E228" s="36">
        <v>0</v>
      </c>
      <c r="F228" s="36">
        <v>0</v>
      </c>
      <c r="G228" s="35">
        <v>0</v>
      </c>
      <c r="H228" s="36">
        <v>0</v>
      </c>
      <c r="I228" s="35">
        <v>0</v>
      </c>
      <c r="J228" s="36">
        <v>0</v>
      </c>
      <c r="K228" s="36">
        <v>0</v>
      </c>
      <c r="L228" s="35">
        <v>0</v>
      </c>
      <c r="M228" s="36">
        <v>0</v>
      </c>
      <c r="N228" s="35">
        <v>0</v>
      </c>
      <c r="O228" s="35">
        <v>0</v>
      </c>
      <c r="P228" s="35">
        <v>0</v>
      </c>
      <c r="Q228" s="36">
        <v>0</v>
      </c>
      <c r="R228" s="35">
        <v>0</v>
      </c>
      <c r="S228" s="35">
        <v>0</v>
      </c>
      <c r="T228" s="36">
        <v>0</v>
      </c>
      <c r="U228" s="35">
        <v>0</v>
      </c>
      <c r="V228" s="36">
        <v>0</v>
      </c>
      <c r="W228" s="36">
        <v>0</v>
      </c>
      <c r="X228" s="35">
        <v>0</v>
      </c>
      <c r="Y228" s="36">
        <v>0</v>
      </c>
      <c r="Z228" s="35">
        <v>0</v>
      </c>
      <c r="AA228" s="36">
        <v>0</v>
      </c>
      <c r="AB228" s="36">
        <v>0</v>
      </c>
      <c r="AC228" s="35">
        <v>0</v>
      </c>
    </row>
    <row r="229" spans="1:29" x14ac:dyDescent="0.3">
      <c r="A229" s="21" t="s">
        <v>331</v>
      </c>
      <c r="B229" s="35">
        <v>0</v>
      </c>
      <c r="C229" s="36">
        <v>0</v>
      </c>
      <c r="D229" s="35">
        <v>0</v>
      </c>
      <c r="E229" s="36">
        <v>0</v>
      </c>
      <c r="F229" s="36">
        <v>0</v>
      </c>
      <c r="G229" s="35">
        <v>0</v>
      </c>
      <c r="H229" s="36">
        <v>0</v>
      </c>
      <c r="I229" s="35">
        <v>0</v>
      </c>
      <c r="J229" s="36">
        <v>0</v>
      </c>
      <c r="K229" s="36">
        <v>0</v>
      </c>
      <c r="L229" s="35">
        <v>0</v>
      </c>
      <c r="M229" s="36">
        <v>0</v>
      </c>
      <c r="N229" s="35">
        <v>0</v>
      </c>
      <c r="O229" s="35">
        <v>0</v>
      </c>
      <c r="P229" s="35">
        <v>0</v>
      </c>
      <c r="Q229" s="36">
        <v>0</v>
      </c>
      <c r="R229" s="35">
        <v>0</v>
      </c>
      <c r="S229" s="35">
        <v>0</v>
      </c>
      <c r="T229" s="36">
        <v>0</v>
      </c>
      <c r="U229" s="35">
        <v>0</v>
      </c>
      <c r="V229" s="36">
        <v>0</v>
      </c>
      <c r="W229" s="36">
        <v>0</v>
      </c>
      <c r="X229" s="35">
        <v>0</v>
      </c>
      <c r="Y229" s="36">
        <v>0</v>
      </c>
      <c r="Z229" s="35">
        <v>0</v>
      </c>
      <c r="AA229" s="36">
        <v>0</v>
      </c>
      <c r="AB229" s="36">
        <v>0</v>
      </c>
      <c r="AC229" s="35">
        <v>0</v>
      </c>
    </row>
    <row r="230" spans="1:29" x14ac:dyDescent="0.3">
      <c r="A230" s="27" t="s">
        <v>332</v>
      </c>
      <c r="B230" s="35">
        <v>0</v>
      </c>
      <c r="C230" s="36">
        <v>0</v>
      </c>
      <c r="D230" s="35">
        <v>0</v>
      </c>
      <c r="E230" s="36">
        <v>0</v>
      </c>
      <c r="F230" s="36">
        <v>0</v>
      </c>
      <c r="G230" s="35">
        <v>0</v>
      </c>
      <c r="H230" s="36">
        <v>0</v>
      </c>
      <c r="I230" s="35">
        <v>0</v>
      </c>
      <c r="J230" s="36">
        <v>0</v>
      </c>
      <c r="K230" s="36">
        <v>0</v>
      </c>
      <c r="L230" s="35">
        <v>0</v>
      </c>
      <c r="M230" s="36">
        <v>0</v>
      </c>
      <c r="N230" s="35">
        <v>0</v>
      </c>
      <c r="O230" s="35">
        <v>0</v>
      </c>
      <c r="P230" s="29">
        <v>5</v>
      </c>
      <c r="Q230" s="36">
        <v>0</v>
      </c>
      <c r="R230" s="35">
        <v>0</v>
      </c>
      <c r="S230" s="35">
        <v>0</v>
      </c>
      <c r="T230" s="36">
        <v>0</v>
      </c>
      <c r="U230" s="35">
        <v>0</v>
      </c>
      <c r="V230" s="36">
        <v>0</v>
      </c>
      <c r="W230" s="36">
        <v>0</v>
      </c>
      <c r="X230" s="35">
        <v>0</v>
      </c>
      <c r="Y230" s="36">
        <v>0</v>
      </c>
      <c r="Z230" s="35">
        <v>0</v>
      </c>
      <c r="AA230" s="36">
        <v>0</v>
      </c>
      <c r="AB230" s="36">
        <v>0</v>
      </c>
      <c r="AC230" s="35">
        <v>0</v>
      </c>
    </row>
    <row r="231" spans="1:29" x14ac:dyDescent="0.3">
      <c r="A231" s="21" t="s">
        <v>333</v>
      </c>
      <c r="B231" s="35">
        <v>0</v>
      </c>
      <c r="C231" s="36">
        <v>0</v>
      </c>
      <c r="D231" s="35">
        <v>0</v>
      </c>
      <c r="E231" s="36">
        <v>0</v>
      </c>
      <c r="F231" s="36">
        <v>0</v>
      </c>
      <c r="G231" s="35">
        <v>0</v>
      </c>
      <c r="H231" s="34">
        <v>20</v>
      </c>
      <c r="I231" s="35">
        <v>0</v>
      </c>
      <c r="J231" s="36">
        <v>0</v>
      </c>
      <c r="K231" s="36">
        <v>0</v>
      </c>
      <c r="L231" s="35">
        <v>0</v>
      </c>
      <c r="M231" s="36">
        <v>0</v>
      </c>
      <c r="N231" s="35">
        <v>0</v>
      </c>
      <c r="O231" s="35">
        <v>0</v>
      </c>
      <c r="P231" s="35">
        <v>0</v>
      </c>
      <c r="Q231" s="36">
        <v>0</v>
      </c>
      <c r="R231" s="35">
        <v>0</v>
      </c>
      <c r="S231" s="35">
        <v>0</v>
      </c>
      <c r="T231" s="36">
        <v>0</v>
      </c>
      <c r="U231" s="35">
        <v>0</v>
      </c>
      <c r="V231" s="36">
        <v>0</v>
      </c>
      <c r="W231" s="36">
        <v>0</v>
      </c>
      <c r="X231" s="35">
        <v>0</v>
      </c>
      <c r="Y231" s="36">
        <v>0</v>
      </c>
      <c r="Z231" s="35">
        <v>0</v>
      </c>
      <c r="AA231" s="36">
        <v>0</v>
      </c>
      <c r="AB231" s="36">
        <v>0</v>
      </c>
      <c r="AC231" s="35">
        <v>0</v>
      </c>
    </row>
    <row r="232" spans="1:29" x14ac:dyDescent="0.3">
      <c r="A232" s="27" t="s">
        <v>334</v>
      </c>
      <c r="B232" s="35">
        <v>0</v>
      </c>
      <c r="C232" s="36">
        <v>0</v>
      </c>
      <c r="D232" s="35">
        <v>0</v>
      </c>
      <c r="E232" s="36">
        <v>0</v>
      </c>
      <c r="F232" s="36">
        <v>0</v>
      </c>
      <c r="G232" s="35">
        <v>0</v>
      </c>
      <c r="H232" s="36">
        <v>0</v>
      </c>
      <c r="I232" s="35">
        <v>0</v>
      </c>
      <c r="J232" s="36">
        <v>0</v>
      </c>
      <c r="K232" s="36">
        <v>0</v>
      </c>
      <c r="L232" s="35">
        <v>0</v>
      </c>
      <c r="M232" s="36">
        <v>0</v>
      </c>
      <c r="N232" s="35">
        <v>0</v>
      </c>
      <c r="O232" s="35">
        <v>0</v>
      </c>
      <c r="P232" s="35">
        <v>0</v>
      </c>
      <c r="Q232" s="34">
        <v>1</v>
      </c>
      <c r="R232" s="35">
        <v>0</v>
      </c>
      <c r="S232" s="35">
        <v>0</v>
      </c>
      <c r="T232" s="36">
        <v>0</v>
      </c>
      <c r="U232" s="35">
        <v>0</v>
      </c>
      <c r="V232" s="36">
        <v>0</v>
      </c>
      <c r="W232" s="36">
        <v>0</v>
      </c>
      <c r="X232" s="35">
        <v>0</v>
      </c>
      <c r="Y232" s="36">
        <v>0</v>
      </c>
      <c r="Z232" s="35">
        <v>0</v>
      </c>
      <c r="AA232" s="36">
        <v>0</v>
      </c>
      <c r="AB232" s="36">
        <v>0</v>
      </c>
      <c r="AC232" s="35">
        <v>0</v>
      </c>
    </row>
    <row r="233" spans="1:29" x14ac:dyDescent="0.3">
      <c r="A233" s="27" t="s">
        <v>335</v>
      </c>
      <c r="B233" s="29">
        <v>11</v>
      </c>
      <c r="C233" s="34">
        <v>20</v>
      </c>
      <c r="D233" s="29">
        <v>86</v>
      </c>
      <c r="E233" s="34">
        <v>186</v>
      </c>
      <c r="F233" s="34">
        <v>220</v>
      </c>
      <c r="G233" s="29">
        <v>160</v>
      </c>
      <c r="H233" s="36">
        <v>0</v>
      </c>
      <c r="I233" s="29">
        <v>100</v>
      </c>
      <c r="J233" s="34">
        <v>460</v>
      </c>
      <c r="K233" s="34">
        <v>117</v>
      </c>
      <c r="L233" s="35">
        <v>0</v>
      </c>
      <c r="M233" s="34">
        <v>140</v>
      </c>
      <c r="N233" s="29">
        <v>38</v>
      </c>
      <c r="O233" s="29">
        <v>50</v>
      </c>
      <c r="P233" s="29">
        <v>23</v>
      </c>
      <c r="Q233" s="34">
        <v>2</v>
      </c>
      <c r="R233" s="29">
        <v>7</v>
      </c>
      <c r="S233" s="29">
        <v>4</v>
      </c>
      <c r="T233" s="36">
        <v>0</v>
      </c>
      <c r="U233" s="29">
        <v>55</v>
      </c>
      <c r="V233" s="36">
        <v>0</v>
      </c>
      <c r="W233" s="34">
        <v>20</v>
      </c>
      <c r="X233" s="35">
        <v>0</v>
      </c>
      <c r="Y233" s="36">
        <v>0</v>
      </c>
      <c r="Z233" s="29">
        <v>13</v>
      </c>
      <c r="AA233" s="34">
        <v>3</v>
      </c>
      <c r="AB233" s="34">
        <v>40</v>
      </c>
      <c r="AC233" s="29">
        <v>71</v>
      </c>
    </row>
    <row r="234" spans="1:29" x14ac:dyDescent="0.3">
      <c r="A234" s="27" t="s">
        <v>336</v>
      </c>
      <c r="B234" s="35">
        <v>0</v>
      </c>
      <c r="C234" s="36">
        <v>0</v>
      </c>
      <c r="D234" s="35">
        <v>0</v>
      </c>
      <c r="E234" s="36">
        <v>0</v>
      </c>
      <c r="F234" s="36">
        <v>0</v>
      </c>
      <c r="G234" s="35">
        <v>0</v>
      </c>
      <c r="H234" s="36">
        <v>0</v>
      </c>
      <c r="I234" s="35">
        <v>0</v>
      </c>
      <c r="J234" s="36">
        <v>0</v>
      </c>
      <c r="K234" s="36">
        <v>0</v>
      </c>
      <c r="L234" s="35">
        <v>0</v>
      </c>
      <c r="M234" s="36">
        <v>0</v>
      </c>
      <c r="N234" s="35">
        <v>0</v>
      </c>
      <c r="O234" s="35">
        <v>0</v>
      </c>
      <c r="P234" s="35">
        <v>0</v>
      </c>
      <c r="Q234" s="36">
        <v>0</v>
      </c>
      <c r="R234" s="35">
        <v>0</v>
      </c>
      <c r="S234" s="35">
        <v>0</v>
      </c>
      <c r="T234" s="36">
        <v>0</v>
      </c>
      <c r="U234" s="35">
        <v>0</v>
      </c>
      <c r="V234" s="36">
        <v>0</v>
      </c>
      <c r="W234" s="36">
        <v>0</v>
      </c>
      <c r="X234" s="35">
        <v>0</v>
      </c>
      <c r="Y234" s="36">
        <v>0</v>
      </c>
      <c r="Z234" s="35">
        <v>0</v>
      </c>
      <c r="AA234" s="36">
        <v>0</v>
      </c>
      <c r="AB234" s="36">
        <v>0</v>
      </c>
      <c r="AC234" s="35">
        <v>0</v>
      </c>
    </row>
    <row r="235" spans="1:29" x14ac:dyDescent="0.3">
      <c r="A235" s="27" t="s">
        <v>337</v>
      </c>
      <c r="B235" s="35">
        <v>0</v>
      </c>
      <c r="C235" s="36">
        <v>0</v>
      </c>
      <c r="D235" s="35">
        <v>0</v>
      </c>
      <c r="E235" s="36">
        <v>0</v>
      </c>
      <c r="F235" s="36">
        <v>0</v>
      </c>
      <c r="G235" s="35">
        <v>0</v>
      </c>
      <c r="H235" s="36">
        <v>0</v>
      </c>
      <c r="I235" s="35">
        <v>0</v>
      </c>
      <c r="J235" s="36">
        <v>0</v>
      </c>
      <c r="K235" s="36">
        <v>0</v>
      </c>
      <c r="L235" s="35">
        <v>0</v>
      </c>
      <c r="M235" s="36">
        <v>0</v>
      </c>
      <c r="N235" s="35">
        <v>0</v>
      </c>
      <c r="O235" s="35">
        <v>0</v>
      </c>
      <c r="P235" s="35">
        <v>0</v>
      </c>
      <c r="Q235" s="36">
        <v>0</v>
      </c>
      <c r="R235" s="35">
        <v>0</v>
      </c>
      <c r="S235" s="35">
        <v>0</v>
      </c>
      <c r="T235" s="36">
        <v>0</v>
      </c>
      <c r="U235" s="35">
        <v>0</v>
      </c>
      <c r="V235" s="36">
        <v>0</v>
      </c>
      <c r="W235" s="36">
        <v>0</v>
      </c>
      <c r="X235" s="35">
        <v>0</v>
      </c>
      <c r="Y235" s="36">
        <v>0</v>
      </c>
      <c r="Z235" s="35">
        <v>0</v>
      </c>
      <c r="AA235" s="36">
        <v>0</v>
      </c>
      <c r="AB235" s="36">
        <v>0</v>
      </c>
      <c r="AC235" s="35">
        <v>0</v>
      </c>
    </row>
    <row r="236" spans="1:29" x14ac:dyDescent="0.3">
      <c r="A236" s="21" t="s">
        <v>338</v>
      </c>
      <c r="B236" s="35">
        <v>0</v>
      </c>
      <c r="C236" s="36">
        <v>0</v>
      </c>
      <c r="D236" s="35">
        <v>0</v>
      </c>
      <c r="E236" s="36">
        <v>0</v>
      </c>
      <c r="F236" s="36">
        <v>0</v>
      </c>
      <c r="G236" s="35">
        <v>0</v>
      </c>
      <c r="H236" s="36">
        <v>0</v>
      </c>
      <c r="I236" s="35">
        <v>0</v>
      </c>
      <c r="J236" s="36">
        <v>0</v>
      </c>
      <c r="K236" s="36">
        <v>0</v>
      </c>
      <c r="L236" s="35">
        <v>0</v>
      </c>
      <c r="M236" s="36">
        <v>0</v>
      </c>
      <c r="N236" s="35">
        <v>0</v>
      </c>
      <c r="O236" s="35">
        <v>0</v>
      </c>
      <c r="P236" s="35">
        <v>0</v>
      </c>
      <c r="Q236" s="36">
        <v>0</v>
      </c>
      <c r="R236" s="35">
        <v>0</v>
      </c>
      <c r="S236" s="35">
        <v>0</v>
      </c>
      <c r="T236" s="36">
        <v>0</v>
      </c>
      <c r="U236" s="35">
        <v>0</v>
      </c>
      <c r="V236" s="36">
        <v>0</v>
      </c>
      <c r="W236" s="36">
        <v>0</v>
      </c>
      <c r="X236" s="35">
        <v>0</v>
      </c>
      <c r="Y236" s="36">
        <v>0</v>
      </c>
      <c r="Z236" s="35">
        <v>0</v>
      </c>
      <c r="AA236" s="36">
        <v>0</v>
      </c>
      <c r="AB236" s="36">
        <v>0</v>
      </c>
      <c r="AC236" s="35">
        <v>0</v>
      </c>
    </row>
    <row r="237" spans="1:29" x14ac:dyDescent="0.3">
      <c r="A237" s="27" t="s">
        <v>339</v>
      </c>
      <c r="B237" s="35">
        <v>0</v>
      </c>
      <c r="C237" s="36">
        <v>0</v>
      </c>
      <c r="D237" s="35">
        <v>0</v>
      </c>
      <c r="E237" s="36">
        <v>0</v>
      </c>
      <c r="F237" s="36">
        <v>0</v>
      </c>
      <c r="G237" s="35">
        <v>0</v>
      </c>
      <c r="H237" s="36">
        <v>0</v>
      </c>
      <c r="I237" s="35">
        <v>0</v>
      </c>
      <c r="J237" s="36">
        <v>0</v>
      </c>
      <c r="K237" s="36">
        <v>0</v>
      </c>
      <c r="L237" s="35">
        <v>0</v>
      </c>
      <c r="M237" s="36">
        <v>0</v>
      </c>
      <c r="N237" s="35">
        <v>0</v>
      </c>
      <c r="O237" s="35">
        <v>0</v>
      </c>
      <c r="P237" s="35">
        <v>0</v>
      </c>
      <c r="Q237" s="36">
        <v>0</v>
      </c>
      <c r="R237" s="35">
        <v>0</v>
      </c>
      <c r="S237" s="35">
        <v>0</v>
      </c>
      <c r="T237" s="36">
        <v>0</v>
      </c>
      <c r="U237" s="35">
        <v>0</v>
      </c>
      <c r="V237" s="36">
        <v>0</v>
      </c>
      <c r="W237" s="36">
        <v>0</v>
      </c>
      <c r="X237" s="35">
        <v>0</v>
      </c>
      <c r="Y237" s="36">
        <v>0</v>
      </c>
      <c r="Z237" s="35">
        <v>0</v>
      </c>
      <c r="AA237" s="36">
        <v>0</v>
      </c>
      <c r="AB237" s="36">
        <v>0</v>
      </c>
      <c r="AC237" s="35">
        <v>0</v>
      </c>
    </row>
    <row r="238" spans="1:29" x14ac:dyDescent="0.3">
      <c r="A238" s="21" t="s">
        <v>340</v>
      </c>
      <c r="B238" s="35">
        <v>0</v>
      </c>
      <c r="C238" s="36">
        <v>0</v>
      </c>
      <c r="D238" s="35">
        <v>0</v>
      </c>
      <c r="E238" s="36">
        <v>0</v>
      </c>
      <c r="F238" s="36">
        <v>0</v>
      </c>
      <c r="G238" s="35">
        <v>0</v>
      </c>
      <c r="H238" s="36">
        <v>0</v>
      </c>
      <c r="I238" s="35">
        <v>0</v>
      </c>
      <c r="J238" s="36">
        <v>0</v>
      </c>
      <c r="K238" s="36">
        <v>0</v>
      </c>
      <c r="L238" s="35">
        <v>0</v>
      </c>
      <c r="M238" s="36">
        <v>0</v>
      </c>
      <c r="N238" s="35">
        <v>0</v>
      </c>
      <c r="O238" s="35">
        <v>0</v>
      </c>
      <c r="P238" s="35">
        <v>0</v>
      </c>
      <c r="Q238" s="36">
        <v>0</v>
      </c>
      <c r="R238" s="35">
        <v>0</v>
      </c>
      <c r="S238" s="35">
        <v>0</v>
      </c>
      <c r="T238" s="36">
        <v>0</v>
      </c>
      <c r="U238" s="35">
        <v>0</v>
      </c>
      <c r="V238" s="36">
        <v>0</v>
      </c>
      <c r="W238" s="36">
        <v>0</v>
      </c>
      <c r="X238" s="35">
        <v>0</v>
      </c>
      <c r="Y238" s="36">
        <v>0</v>
      </c>
      <c r="Z238" s="35">
        <v>0</v>
      </c>
      <c r="AA238" s="36">
        <v>0</v>
      </c>
      <c r="AB238" s="36">
        <v>0</v>
      </c>
      <c r="AC238" s="35">
        <v>0</v>
      </c>
    </row>
    <row r="239" spans="1:29" x14ac:dyDescent="0.3">
      <c r="A239" s="27" t="s">
        <v>341</v>
      </c>
      <c r="B239" s="35">
        <v>0</v>
      </c>
      <c r="C239" s="36">
        <v>0</v>
      </c>
      <c r="D239" s="35">
        <v>0</v>
      </c>
      <c r="E239" s="36">
        <v>0</v>
      </c>
      <c r="F239" s="36">
        <v>0</v>
      </c>
      <c r="G239" s="35">
        <v>0</v>
      </c>
      <c r="H239" s="36">
        <v>0</v>
      </c>
      <c r="I239" s="35">
        <v>0</v>
      </c>
      <c r="J239" s="36">
        <v>0</v>
      </c>
      <c r="K239" s="36">
        <v>0</v>
      </c>
      <c r="L239" s="35">
        <v>0</v>
      </c>
      <c r="M239" s="36">
        <v>0</v>
      </c>
      <c r="N239" s="35">
        <v>0</v>
      </c>
      <c r="O239" s="35">
        <v>0</v>
      </c>
      <c r="P239" s="35">
        <v>0</v>
      </c>
      <c r="Q239" s="36">
        <v>0</v>
      </c>
      <c r="R239" s="35">
        <v>0</v>
      </c>
      <c r="S239" s="35">
        <v>0</v>
      </c>
      <c r="T239" s="36">
        <v>0</v>
      </c>
      <c r="U239" s="35">
        <v>0</v>
      </c>
      <c r="V239" s="36">
        <v>0</v>
      </c>
      <c r="W239" s="36">
        <v>0</v>
      </c>
      <c r="X239" s="35">
        <v>0</v>
      </c>
      <c r="Y239" s="36">
        <v>0</v>
      </c>
      <c r="Z239" s="35">
        <v>0</v>
      </c>
      <c r="AA239" s="36">
        <v>0</v>
      </c>
      <c r="AB239" s="36">
        <v>0</v>
      </c>
      <c r="AC239" s="35">
        <v>0</v>
      </c>
    </row>
    <row r="240" spans="1:29" x14ac:dyDescent="0.3">
      <c r="A240" s="21" t="s">
        <v>342</v>
      </c>
      <c r="B240" s="35">
        <v>0</v>
      </c>
      <c r="C240" s="34">
        <v>10</v>
      </c>
      <c r="D240" s="35">
        <v>0</v>
      </c>
      <c r="E240" s="36">
        <v>0</v>
      </c>
      <c r="F240" s="36">
        <v>0</v>
      </c>
      <c r="G240" s="35">
        <v>0</v>
      </c>
      <c r="H240" s="36">
        <v>0</v>
      </c>
      <c r="I240" s="29">
        <v>70</v>
      </c>
      <c r="J240" s="34">
        <v>340</v>
      </c>
      <c r="K240" s="36">
        <v>0</v>
      </c>
      <c r="L240" s="29">
        <v>20</v>
      </c>
      <c r="M240" s="36">
        <v>0</v>
      </c>
      <c r="N240" s="35">
        <v>0</v>
      </c>
      <c r="O240" s="35">
        <v>0</v>
      </c>
      <c r="P240" s="35">
        <v>0</v>
      </c>
      <c r="Q240" s="36">
        <v>0</v>
      </c>
      <c r="R240" s="29">
        <v>1</v>
      </c>
      <c r="S240" s="35">
        <v>0</v>
      </c>
      <c r="T240" s="36">
        <v>0</v>
      </c>
      <c r="U240" s="35">
        <v>0</v>
      </c>
      <c r="V240" s="36">
        <v>0</v>
      </c>
      <c r="W240" s="36">
        <v>0</v>
      </c>
      <c r="X240" s="35">
        <v>0</v>
      </c>
      <c r="Y240" s="36">
        <v>0</v>
      </c>
      <c r="Z240" s="35">
        <v>0</v>
      </c>
      <c r="AA240" s="36">
        <v>0</v>
      </c>
      <c r="AB240" s="36">
        <v>0</v>
      </c>
      <c r="AC240" s="35">
        <v>0</v>
      </c>
    </row>
    <row r="241" spans="1:29" x14ac:dyDescent="0.3">
      <c r="A241" s="27" t="s">
        <v>343</v>
      </c>
      <c r="B241" s="29">
        <v>44</v>
      </c>
      <c r="C241" s="34">
        <v>160</v>
      </c>
      <c r="D241" s="29">
        <v>386</v>
      </c>
      <c r="E241" s="34">
        <v>200</v>
      </c>
      <c r="F241" s="34">
        <v>20</v>
      </c>
      <c r="G241" s="35">
        <v>0</v>
      </c>
      <c r="H241" s="34">
        <v>300</v>
      </c>
      <c r="I241" s="29">
        <v>490</v>
      </c>
      <c r="J241" s="34">
        <v>1680</v>
      </c>
      <c r="K241" s="34">
        <v>17</v>
      </c>
      <c r="L241" s="29">
        <v>140</v>
      </c>
      <c r="M241" s="34">
        <v>60</v>
      </c>
      <c r="N241" s="29">
        <v>38</v>
      </c>
      <c r="O241" s="35">
        <v>0</v>
      </c>
      <c r="P241" s="35">
        <v>0</v>
      </c>
      <c r="Q241" s="34">
        <v>3</v>
      </c>
      <c r="R241" s="29">
        <v>1</v>
      </c>
      <c r="S241" s="35">
        <v>0</v>
      </c>
      <c r="T241" s="34">
        <v>5</v>
      </c>
      <c r="U241" s="29">
        <v>73</v>
      </c>
      <c r="V241" s="36">
        <v>0</v>
      </c>
      <c r="W241" s="36">
        <v>0</v>
      </c>
      <c r="X241" s="29">
        <v>88</v>
      </c>
      <c r="Y241" s="34">
        <v>41</v>
      </c>
      <c r="Z241" s="35">
        <v>0</v>
      </c>
      <c r="AA241" s="34">
        <v>14</v>
      </c>
      <c r="AB241" s="36">
        <v>0</v>
      </c>
      <c r="AC241" s="29">
        <v>93</v>
      </c>
    </row>
    <row r="242" spans="1:29" x14ac:dyDescent="0.3">
      <c r="A242" s="21" t="s">
        <v>344</v>
      </c>
      <c r="B242" s="35">
        <v>0</v>
      </c>
      <c r="C242" s="36">
        <v>0</v>
      </c>
      <c r="D242" s="35">
        <v>0</v>
      </c>
      <c r="E242" s="36">
        <v>0</v>
      </c>
      <c r="F242" s="36">
        <v>0</v>
      </c>
      <c r="G242" s="35">
        <v>0</v>
      </c>
      <c r="H242" s="36">
        <v>0</v>
      </c>
      <c r="I242" s="35">
        <v>0</v>
      </c>
      <c r="J242" s="36">
        <v>0</v>
      </c>
      <c r="K242" s="36">
        <v>0</v>
      </c>
      <c r="L242" s="35">
        <v>0</v>
      </c>
      <c r="M242" s="36">
        <v>0</v>
      </c>
      <c r="N242" s="35">
        <v>0</v>
      </c>
      <c r="O242" s="35">
        <v>0</v>
      </c>
      <c r="P242" s="35">
        <v>0</v>
      </c>
      <c r="Q242" s="36">
        <v>0</v>
      </c>
      <c r="R242" s="35">
        <v>0</v>
      </c>
      <c r="S242" s="35">
        <v>0</v>
      </c>
      <c r="T242" s="36">
        <v>0</v>
      </c>
      <c r="U242" s="35">
        <v>0</v>
      </c>
      <c r="V242" s="34">
        <v>4</v>
      </c>
      <c r="W242" s="36">
        <v>0</v>
      </c>
      <c r="X242" s="35">
        <v>0</v>
      </c>
      <c r="Y242" s="36">
        <v>0</v>
      </c>
      <c r="Z242" s="35">
        <v>0</v>
      </c>
      <c r="AA242" s="36">
        <v>0</v>
      </c>
      <c r="AB242" s="34">
        <v>5</v>
      </c>
      <c r="AC242" s="35">
        <v>0</v>
      </c>
    </row>
    <row r="243" spans="1:29" x14ac:dyDescent="0.3">
      <c r="A243" s="21" t="s">
        <v>345</v>
      </c>
      <c r="B243" s="35">
        <v>0</v>
      </c>
      <c r="C243" s="36">
        <v>0</v>
      </c>
      <c r="D243" s="35">
        <v>0</v>
      </c>
      <c r="E243" s="36">
        <v>0</v>
      </c>
      <c r="F243" s="34">
        <v>20</v>
      </c>
      <c r="G243" s="35">
        <v>0</v>
      </c>
      <c r="H243" s="36">
        <v>0</v>
      </c>
      <c r="I243" s="35">
        <v>0</v>
      </c>
      <c r="J243" s="36">
        <v>0</v>
      </c>
      <c r="K243" s="36">
        <v>0</v>
      </c>
      <c r="L243" s="35">
        <v>0</v>
      </c>
      <c r="M243" s="36">
        <v>0</v>
      </c>
      <c r="N243" s="35">
        <v>0</v>
      </c>
      <c r="O243" s="35">
        <v>0</v>
      </c>
      <c r="P243" s="35">
        <v>0</v>
      </c>
      <c r="Q243" s="36">
        <v>0</v>
      </c>
      <c r="R243" s="35">
        <v>0</v>
      </c>
      <c r="S243" s="35">
        <v>0</v>
      </c>
      <c r="T243" s="36">
        <v>0</v>
      </c>
      <c r="U243" s="35">
        <v>0</v>
      </c>
      <c r="V243" s="36">
        <v>0</v>
      </c>
      <c r="W243" s="36">
        <v>0</v>
      </c>
      <c r="X243" s="35">
        <v>0</v>
      </c>
      <c r="Y243" s="36">
        <v>0</v>
      </c>
      <c r="Z243" s="35">
        <v>0</v>
      </c>
      <c r="AA243" s="36">
        <v>0</v>
      </c>
      <c r="AB243" s="36">
        <v>0</v>
      </c>
      <c r="AC243" s="35">
        <v>0</v>
      </c>
    </row>
    <row r="244" spans="1:29" x14ac:dyDescent="0.3">
      <c r="A244" s="27" t="s">
        <v>346</v>
      </c>
      <c r="B244" s="35">
        <v>0</v>
      </c>
      <c r="C244" s="36">
        <v>0</v>
      </c>
      <c r="D244" s="35">
        <v>0</v>
      </c>
      <c r="E244" s="36">
        <v>0</v>
      </c>
      <c r="F244" s="36">
        <v>0</v>
      </c>
      <c r="G244" s="35">
        <v>0</v>
      </c>
      <c r="H244" s="36">
        <v>0</v>
      </c>
      <c r="I244" s="35">
        <v>0</v>
      </c>
      <c r="J244" s="36">
        <v>0</v>
      </c>
      <c r="K244" s="36">
        <v>0</v>
      </c>
      <c r="L244" s="35">
        <v>0</v>
      </c>
      <c r="M244" s="36">
        <v>0</v>
      </c>
      <c r="N244" s="35">
        <v>0</v>
      </c>
      <c r="O244" s="35">
        <v>0</v>
      </c>
      <c r="P244" s="35">
        <v>0</v>
      </c>
      <c r="Q244" s="36">
        <v>0</v>
      </c>
      <c r="R244" s="35">
        <v>0</v>
      </c>
      <c r="S244" s="35">
        <v>0</v>
      </c>
      <c r="T244" s="36">
        <v>0</v>
      </c>
      <c r="U244" s="29">
        <v>27</v>
      </c>
      <c r="V244" s="36">
        <v>0</v>
      </c>
      <c r="W244" s="36">
        <v>0</v>
      </c>
      <c r="X244" s="35">
        <v>0</v>
      </c>
      <c r="Y244" s="36">
        <v>0</v>
      </c>
      <c r="Z244" s="29">
        <v>19</v>
      </c>
      <c r="AA244" s="36">
        <v>0</v>
      </c>
      <c r="AB244" s="36">
        <v>0</v>
      </c>
      <c r="AC244" s="29">
        <v>21</v>
      </c>
    </row>
    <row r="245" spans="1:29" x14ac:dyDescent="0.3">
      <c r="A245" s="27" t="s">
        <v>347</v>
      </c>
      <c r="B245" s="35">
        <v>0</v>
      </c>
      <c r="C245" s="36">
        <v>0</v>
      </c>
      <c r="D245" s="35">
        <v>0</v>
      </c>
      <c r="E245" s="36">
        <v>0</v>
      </c>
      <c r="F245" s="34">
        <v>20</v>
      </c>
      <c r="G245" s="35">
        <v>0</v>
      </c>
      <c r="H245" s="36">
        <v>0</v>
      </c>
      <c r="I245" s="35">
        <v>0</v>
      </c>
      <c r="J245" s="36">
        <v>0</v>
      </c>
      <c r="K245" s="36">
        <v>0</v>
      </c>
      <c r="L245" s="35">
        <v>0</v>
      </c>
      <c r="M245" s="36">
        <v>0</v>
      </c>
      <c r="N245" s="35">
        <v>0</v>
      </c>
      <c r="O245" s="35">
        <v>0</v>
      </c>
      <c r="P245" s="35">
        <v>0</v>
      </c>
      <c r="Q245" s="36">
        <v>0</v>
      </c>
      <c r="R245" s="35">
        <v>0</v>
      </c>
      <c r="S245" s="35">
        <v>0</v>
      </c>
      <c r="T245" s="36">
        <v>0</v>
      </c>
      <c r="U245" s="35">
        <v>0</v>
      </c>
      <c r="V245" s="36">
        <v>0</v>
      </c>
      <c r="W245" s="36">
        <v>0</v>
      </c>
      <c r="X245" s="35">
        <v>0</v>
      </c>
      <c r="Y245" s="36">
        <v>0</v>
      </c>
      <c r="Z245" s="35">
        <v>0</v>
      </c>
      <c r="AA245" s="36">
        <v>0</v>
      </c>
      <c r="AB245" s="36">
        <v>0</v>
      </c>
      <c r="AC245" s="35">
        <v>0</v>
      </c>
    </row>
    <row r="246" spans="1:29" x14ac:dyDescent="0.3">
      <c r="A246" s="27" t="s">
        <v>348</v>
      </c>
      <c r="B246" s="35">
        <v>0</v>
      </c>
      <c r="C246" s="36">
        <v>0</v>
      </c>
      <c r="D246" s="35">
        <v>0</v>
      </c>
      <c r="E246" s="36">
        <v>0</v>
      </c>
      <c r="F246" s="36">
        <v>0</v>
      </c>
      <c r="G246" s="35">
        <v>0</v>
      </c>
      <c r="H246" s="36">
        <v>0</v>
      </c>
      <c r="I246" s="35">
        <v>0</v>
      </c>
      <c r="J246" s="36">
        <v>0</v>
      </c>
      <c r="K246" s="36">
        <v>0</v>
      </c>
      <c r="L246" s="35">
        <v>0</v>
      </c>
      <c r="M246" s="36">
        <v>0</v>
      </c>
      <c r="N246" s="35">
        <v>0</v>
      </c>
      <c r="O246" s="35">
        <v>0</v>
      </c>
      <c r="P246" s="35">
        <v>0</v>
      </c>
      <c r="Q246" s="36">
        <v>0</v>
      </c>
      <c r="R246" s="35">
        <v>0</v>
      </c>
      <c r="S246" s="35">
        <v>0</v>
      </c>
      <c r="T246" s="36">
        <v>0</v>
      </c>
      <c r="U246" s="29">
        <v>9</v>
      </c>
      <c r="V246" s="36">
        <v>0</v>
      </c>
      <c r="W246" s="36">
        <v>0</v>
      </c>
      <c r="X246" s="35">
        <v>0</v>
      </c>
      <c r="Y246" s="36">
        <v>0</v>
      </c>
      <c r="Z246" s="29">
        <v>6</v>
      </c>
      <c r="AA246" s="36">
        <v>0</v>
      </c>
      <c r="AB246" s="36">
        <v>0</v>
      </c>
      <c r="AC246" s="35">
        <v>0</v>
      </c>
    </row>
    <row r="247" spans="1:29" x14ac:dyDescent="0.3">
      <c r="A247" s="27" t="s">
        <v>349</v>
      </c>
      <c r="B247" s="35">
        <v>0</v>
      </c>
      <c r="C247" s="36">
        <v>0</v>
      </c>
      <c r="D247" s="35">
        <v>0</v>
      </c>
      <c r="E247" s="36">
        <v>0</v>
      </c>
      <c r="F247" s="36">
        <v>0</v>
      </c>
      <c r="G247" s="35">
        <v>0</v>
      </c>
      <c r="H247" s="36">
        <v>0</v>
      </c>
      <c r="I247" s="35">
        <v>0</v>
      </c>
      <c r="J247" s="36">
        <v>0</v>
      </c>
      <c r="K247" s="36">
        <v>0</v>
      </c>
      <c r="L247" s="35">
        <v>0</v>
      </c>
      <c r="M247" s="36">
        <v>0</v>
      </c>
      <c r="N247" s="35">
        <v>0</v>
      </c>
      <c r="O247" s="35">
        <v>0</v>
      </c>
      <c r="P247" s="35">
        <v>0</v>
      </c>
      <c r="Q247" s="36">
        <v>0</v>
      </c>
      <c r="R247" s="35">
        <v>0</v>
      </c>
      <c r="S247" s="35">
        <v>0</v>
      </c>
      <c r="T247" s="36">
        <v>0</v>
      </c>
      <c r="U247" s="35">
        <v>0</v>
      </c>
      <c r="V247" s="36">
        <v>0</v>
      </c>
      <c r="W247" s="36">
        <v>0</v>
      </c>
      <c r="X247" s="29">
        <v>6</v>
      </c>
      <c r="Y247" s="36">
        <v>0</v>
      </c>
      <c r="Z247" s="35">
        <v>0</v>
      </c>
      <c r="AA247" s="36">
        <v>0</v>
      </c>
      <c r="AB247" s="36">
        <v>0</v>
      </c>
      <c r="AC247" s="35">
        <v>0</v>
      </c>
    </row>
    <row r="248" spans="1:29" x14ac:dyDescent="0.3">
      <c r="A248" s="27" t="s">
        <v>350</v>
      </c>
      <c r="B248" s="35">
        <v>0</v>
      </c>
      <c r="C248" s="36">
        <v>0</v>
      </c>
      <c r="D248" s="35">
        <v>0</v>
      </c>
      <c r="E248" s="36">
        <v>0</v>
      </c>
      <c r="F248" s="36">
        <v>0</v>
      </c>
      <c r="G248" s="35">
        <v>0</v>
      </c>
      <c r="H248" s="36">
        <v>0</v>
      </c>
      <c r="I248" s="35">
        <v>0</v>
      </c>
      <c r="J248" s="36">
        <v>0</v>
      </c>
      <c r="K248" s="36">
        <v>0</v>
      </c>
      <c r="L248" s="35">
        <v>0</v>
      </c>
      <c r="M248" s="36">
        <v>0</v>
      </c>
      <c r="N248" s="35">
        <v>0</v>
      </c>
      <c r="O248" s="35">
        <v>0</v>
      </c>
      <c r="P248" s="35">
        <v>0</v>
      </c>
      <c r="Q248" s="36">
        <v>0</v>
      </c>
      <c r="R248" s="35">
        <v>0</v>
      </c>
      <c r="S248" s="35">
        <v>0</v>
      </c>
      <c r="T248" s="36">
        <v>0</v>
      </c>
      <c r="U248" s="35">
        <v>0</v>
      </c>
      <c r="V248" s="36">
        <v>0</v>
      </c>
      <c r="W248" s="36">
        <v>0</v>
      </c>
      <c r="X248" s="35">
        <v>0</v>
      </c>
      <c r="Y248" s="36">
        <v>0</v>
      </c>
      <c r="Z248" s="35">
        <v>0</v>
      </c>
      <c r="AA248" s="36">
        <v>0</v>
      </c>
      <c r="AB248" s="36">
        <v>0</v>
      </c>
      <c r="AC248" s="35">
        <v>0</v>
      </c>
    </row>
    <row r="249" spans="1:29" x14ac:dyDescent="0.3">
      <c r="A249" s="27" t="s">
        <v>351</v>
      </c>
      <c r="B249" s="35">
        <v>0</v>
      </c>
      <c r="C249" s="36">
        <v>0</v>
      </c>
      <c r="D249" s="35">
        <v>0</v>
      </c>
      <c r="E249" s="36">
        <v>0</v>
      </c>
      <c r="F249" s="36">
        <v>0</v>
      </c>
      <c r="G249" s="35">
        <v>0</v>
      </c>
      <c r="H249" s="36">
        <v>0</v>
      </c>
      <c r="I249" s="35">
        <v>0</v>
      </c>
      <c r="J249" s="36">
        <v>0</v>
      </c>
      <c r="K249" s="36">
        <v>0</v>
      </c>
      <c r="L249" s="35">
        <v>0</v>
      </c>
      <c r="M249" s="36">
        <v>0</v>
      </c>
      <c r="N249" s="35">
        <v>0</v>
      </c>
      <c r="O249" s="35">
        <v>0</v>
      </c>
      <c r="P249" s="35">
        <v>0</v>
      </c>
      <c r="Q249" s="36">
        <v>0</v>
      </c>
      <c r="R249" s="35">
        <v>0</v>
      </c>
      <c r="S249" s="35">
        <v>0</v>
      </c>
      <c r="T249" s="36">
        <v>0</v>
      </c>
      <c r="U249" s="35">
        <v>0</v>
      </c>
      <c r="V249" s="36">
        <v>0</v>
      </c>
      <c r="W249" s="36">
        <v>0</v>
      </c>
      <c r="X249" s="35">
        <v>0</v>
      </c>
      <c r="Y249" s="36">
        <v>0</v>
      </c>
      <c r="Z249" s="35">
        <v>0</v>
      </c>
      <c r="AA249" s="36">
        <v>0</v>
      </c>
      <c r="AB249" s="36">
        <v>0</v>
      </c>
      <c r="AC249" s="35">
        <v>0</v>
      </c>
    </row>
    <row r="250" spans="1:29" x14ac:dyDescent="0.3">
      <c r="A250" s="27" t="s">
        <v>352</v>
      </c>
      <c r="B250" s="35">
        <v>0</v>
      </c>
      <c r="C250" s="36">
        <v>0</v>
      </c>
      <c r="D250" s="29">
        <v>29</v>
      </c>
      <c r="E250" s="36">
        <v>0</v>
      </c>
      <c r="F250" s="36">
        <v>0</v>
      </c>
      <c r="G250" s="35">
        <v>0</v>
      </c>
      <c r="H250" s="36">
        <v>0</v>
      </c>
      <c r="I250" s="35">
        <v>0</v>
      </c>
      <c r="J250" s="36">
        <v>0</v>
      </c>
      <c r="K250" s="36">
        <v>0</v>
      </c>
      <c r="L250" s="35">
        <v>0</v>
      </c>
      <c r="M250" s="36">
        <v>0</v>
      </c>
      <c r="N250" s="35">
        <v>0</v>
      </c>
      <c r="O250" s="35">
        <v>0</v>
      </c>
      <c r="P250" s="29">
        <v>5</v>
      </c>
      <c r="Q250" s="36">
        <v>0</v>
      </c>
      <c r="R250" s="35">
        <v>0</v>
      </c>
      <c r="S250" s="35">
        <v>0</v>
      </c>
      <c r="T250" s="36">
        <v>0</v>
      </c>
      <c r="U250" s="35">
        <v>0</v>
      </c>
      <c r="V250" s="36">
        <v>0</v>
      </c>
      <c r="W250" s="36">
        <v>0</v>
      </c>
      <c r="X250" s="35">
        <v>0</v>
      </c>
      <c r="Y250" s="36">
        <v>0</v>
      </c>
      <c r="Z250" s="35">
        <v>0</v>
      </c>
      <c r="AA250" s="36">
        <v>0</v>
      </c>
      <c r="AB250" s="36">
        <v>0</v>
      </c>
      <c r="AC250" s="35">
        <v>0</v>
      </c>
    </row>
    <row r="251" spans="1:29" x14ac:dyDescent="0.3">
      <c r="A251" s="21" t="s">
        <v>119</v>
      </c>
      <c r="B251" s="35">
        <v>0</v>
      </c>
      <c r="C251" s="36">
        <v>0</v>
      </c>
      <c r="D251" s="35">
        <v>0</v>
      </c>
      <c r="E251" s="36">
        <v>0</v>
      </c>
      <c r="F251" s="36">
        <v>0</v>
      </c>
      <c r="G251" s="35">
        <v>0</v>
      </c>
      <c r="H251" s="36">
        <v>0</v>
      </c>
      <c r="I251" s="35">
        <v>0</v>
      </c>
      <c r="J251" s="36">
        <v>0</v>
      </c>
      <c r="K251" s="36">
        <v>0</v>
      </c>
      <c r="L251" s="35">
        <v>0</v>
      </c>
      <c r="M251" s="36">
        <v>0</v>
      </c>
      <c r="N251" s="35">
        <v>0</v>
      </c>
      <c r="O251" s="35">
        <v>0</v>
      </c>
      <c r="P251" s="35">
        <v>0</v>
      </c>
      <c r="Q251" s="36">
        <v>0</v>
      </c>
      <c r="R251" s="35">
        <v>0</v>
      </c>
      <c r="S251" s="35">
        <v>0</v>
      </c>
      <c r="T251" s="36">
        <v>0</v>
      </c>
      <c r="U251" s="35">
        <v>0</v>
      </c>
      <c r="V251" s="36">
        <v>0</v>
      </c>
      <c r="W251" s="36">
        <v>0</v>
      </c>
      <c r="X251" s="35">
        <v>0</v>
      </c>
      <c r="Y251" s="36">
        <v>0</v>
      </c>
      <c r="Z251" s="35">
        <v>0</v>
      </c>
      <c r="AA251" s="36">
        <v>0</v>
      </c>
      <c r="AB251" s="36">
        <v>0</v>
      </c>
      <c r="AC251" s="35">
        <v>0</v>
      </c>
    </row>
    <row r="252" spans="1:29" x14ac:dyDescent="0.3">
      <c r="A252" s="21" t="s">
        <v>353</v>
      </c>
      <c r="B252" s="35">
        <v>0</v>
      </c>
      <c r="C252" s="36">
        <v>0</v>
      </c>
      <c r="D252" s="35">
        <v>0</v>
      </c>
      <c r="E252" s="36">
        <v>0</v>
      </c>
      <c r="F252" s="36">
        <v>0</v>
      </c>
      <c r="G252" s="35">
        <v>0</v>
      </c>
      <c r="H252" s="36">
        <v>0</v>
      </c>
      <c r="I252" s="35">
        <v>0</v>
      </c>
      <c r="J252" s="36">
        <v>0</v>
      </c>
      <c r="K252" s="36">
        <v>0</v>
      </c>
      <c r="L252" s="35">
        <v>0</v>
      </c>
      <c r="M252" s="36">
        <v>0</v>
      </c>
      <c r="N252" s="35">
        <v>0</v>
      </c>
      <c r="O252" s="35">
        <v>0</v>
      </c>
      <c r="P252" s="35">
        <v>0</v>
      </c>
      <c r="Q252" s="36">
        <v>0</v>
      </c>
      <c r="R252" s="35">
        <v>0</v>
      </c>
      <c r="S252" s="35">
        <v>0</v>
      </c>
      <c r="T252" s="36">
        <v>0</v>
      </c>
      <c r="U252" s="35">
        <v>0</v>
      </c>
      <c r="V252" s="36">
        <v>0</v>
      </c>
      <c r="W252" s="36">
        <v>0</v>
      </c>
      <c r="X252" s="35">
        <v>0</v>
      </c>
      <c r="Y252" s="36">
        <v>0</v>
      </c>
      <c r="Z252" s="35">
        <v>0</v>
      </c>
      <c r="AA252" s="36">
        <v>0</v>
      </c>
      <c r="AB252" s="36">
        <v>0</v>
      </c>
      <c r="AC252" s="35">
        <v>0</v>
      </c>
    </row>
    <row r="253" spans="1:29" x14ac:dyDescent="0.3">
      <c r="A253" s="21" t="s">
        <v>354</v>
      </c>
      <c r="B253" s="35">
        <v>0</v>
      </c>
      <c r="C253" s="36">
        <v>0</v>
      </c>
      <c r="D253" s="35">
        <v>0</v>
      </c>
      <c r="E253" s="36">
        <v>0</v>
      </c>
      <c r="F253" s="36">
        <v>0</v>
      </c>
      <c r="G253" s="35">
        <v>0</v>
      </c>
      <c r="H253" s="36">
        <v>0</v>
      </c>
      <c r="I253" s="35">
        <v>0</v>
      </c>
      <c r="J253" s="36">
        <v>0</v>
      </c>
      <c r="K253" s="36">
        <v>0</v>
      </c>
      <c r="L253" s="35">
        <v>0</v>
      </c>
      <c r="M253" s="36">
        <v>0</v>
      </c>
      <c r="N253" s="35">
        <v>0</v>
      </c>
      <c r="O253" s="35">
        <v>0</v>
      </c>
      <c r="P253" s="35">
        <v>0</v>
      </c>
      <c r="Q253" s="36">
        <v>0</v>
      </c>
      <c r="R253" s="35">
        <v>0</v>
      </c>
      <c r="S253" s="35">
        <v>0</v>
      </c>
      <c r="T253" s="36">
        <v>0</v>
      </c>
      <c r="U253" s="35">
        <v>0</v>
      </c>
      <c r="V253" s="36">
        <v>0</v>
      </c>
      <c r="W253" s="36">
        <v>0</v>
      </c>
      <c r="X253" s="35">
        <v>0</v>
      </c>
      <c r="Y253" s="36">
        <v>0</v>
      </c>
      <c r="Z253" s="35">
        <v>0</v>
      </c>
      <c r="AA253" s="36">
        <v>0</v>
      </c>
      <c r="AB253" s="36">
        <v>0</v>
      </c>
      <c r="AC253" s="35">
        <v>0</v>
      </c>
    </row>
    <row r="254" spans="1:29" x14ac:dyDescent="0.3">
      <c r="A254" s="27" t="s">
        <v>355</v>
      </c>
      <c r="B254" s="35">
        <v>0</v>
      </c>
      <c r="C254" s="36">
        <v>0</v>
      </c>
      <c r="D254" s="35">
        <v>0</v>
      </c>
      <c r="E254" s="36">
        <v>0</v>
      </c>
      <c r="F254" s="36">
        <v>0</v>
      </c>
      <c r="G254" s="35">
        <v>0</v>
      </c>
      <c r="H254" s="36">
        <v>0</v>
      </c>
      <c r="I254" s="35">
        <v>0</v>
      </c>
      <c r="J254" s="36">
        <v>0</v>
      </c>
      <c r="K254" s="36">
        <v>0</v>
      </c>
      <c r="L254" s="35">
        <v>0</v>
      </c>
      <c r="M254" s="36">
        <v>0</v>
      </c>
      <c r="N254" s="35">
        <v>0</v>
      </c>
      <c r="O254" s="35">
        <v>0</v>
      </c>
      <c r="P254" s="35">
        <v>0</v>
      </c>
      <c r="Q254" s="36">
        <v>0</v>
      </c>
      <c r="R254" s="35">
        <v>0</v>
      </c>
      <c r="S254" s="35">
        <v>0</v>
      </c>
      <c r="T254" s="36">
        <v>0</v>
      </c>
      <c r="U254" s="35">
        <v>0</v>
      </c>
      <c r="V254" s="36">
        <v>0</v>
      </c>
      <c r="W254" s="36">
        <v>0</v>
      </c>
      <c r="X254" s="35">
        <v>0</v>
      </c>
      <c r="Y254" s="36">
        <v>0</v>
      </c>
      <c r="Z254" s="35">
        <v>0</v>
      </c>
      <c r="AA254" s="36">
        <v>0</v>
      </c>
      <c r="AB254" s="36">
        <v>0</v>
      </c>
      <c r="AC254" s="35">
        <v>0</v>
      </c>
    </row>
    <row r="255" spans="1:29" x14ac:dyDescent="0.3">
      <c r="A255" s="27" t="s">
        <v>356</v>
      </c>
      <c r="B255" s="35">
        <v>0</v>
      </c>
      <c r="C255" s="36">
        <v>0</v>
      </c>
      <c r="D255" s="35">
        <v>0</v>
      </c>
      <c r="E255" s="36">
        <v>0</v>
      </c>
      <c r="F255" s="36">
        <v>0</v>
      </c>
      <c r="G255" s="35">
        <v>0</v>
      </c>
      <c r="H255" s="36">
        <v>0</v>
      </c>
      <c r="I255" s="35">
        <v>0</v>
      </c>
      <c r="J255" s="36">
        <v>0</v>
      </c>
      <c r="K255" s="36">
        <v>0</v>
      </c>
      <c r="L255" s="35">
        <v>0</v>
      </c>
      <c r="M255" s="36">
        <v>0</v>
      </c>
      <c r="N255" s="35">
        <v>0</v>
      </c>
      <c r="O255" s="35">
        <v>0</v>
      </c>
      <c r="P255" s="35">
        <v>0</v>
      </c>
      <c r="Q255" s="36">
        <v>0</v>
      </c>
      <c r="R255" s="35">
        <v>0</v>
      </c>
      <c r="S255" s="35">
        <v>0</v>
      </c>
      <c r="T255" s="36">
        <v>0</v>
      </c>
      <c r="U255" s="35">
        <v>0</v>
      </c>
      <c r="V255" s="36">
        <v>0</v>
      </c>
      <c r="W255" s="36">
        <v>0</v>
      </c>
      <c r="X255" s="35">
        <v>0</v>
      </c>
      <c r="Y255" s="36">
        <v>0</v>
      </c>
      <c r="Z255" s="35">
        <v>0</v>
      </c>
      <c r="AA255" s="36">
        <v>0</v>
      </c>
      <c r="AB255" s="36">
        <v>0</v>
      </c>
      <c r="AC255" s="35">
        <v>0</v>
      </c>
    </row>
    <row r="256" spans="1:29" x14ac:dyDescent="0.3">
      <c r="A256" s="21" t="s">
        <v>119</v>
      </c>
      <c r="B256" s="35">
        <v>0</v>
      </c>
      <c r="C256" s="36">
        <v>0</v>
      </c>
      <c r="D256" s="35">
        <v>0</v>
      </c>
      <c r="E256" s="36">
        <v>0</v>
      </c>
      <c r="F256" s="36">
        <v>0</v>
      </c>
      <c r="G256" s="35">
        <v>0</v>
      </c>
      <c r="H256" s="36">
        <v>0</v>
      </c>
      <c r="I256" s="35">
        <v>0</v>
      </c>
      <c r="J256" s="36">
        <v>0</v>
      </c>
      <c r="K256" s="36">
        <v>0</v>
      </c>
      <c r="L256" s="35">
        <v>0</v>
      </c>
      <c r="M256" s="36">
        <v>0</v>
      </c>
      <c r="N256" s="35">
        <v>0</v>
      </c>
      <c r="O256" s="35">
        <v>0</v>
      </c>
      <c r="P256" s="35">
        <v>0</v>
      </c>
      <c r="Q256" s="36">
        <v>0</v>
      </c>
      <c r="R256" s="35">
        <v>0</v>
      </c>
      <c r="S256" s="35">
        <v>0</v>
      </c>
      <c r="T256" s="36">
        <v>0</v>
      </c>
      <c r="U256" s="35">
        <v>0</v>
      </c>
      <c r="V256" s="36">
        <v>0</v>
      </c>
      <c r="W256" s="36">
        <v>0</v>
      </c>
      <c r="X256" s="35">
        <v>0</v>
      </c>
      <c r="Y256" s="36">
        <v>0</v>
      </c>
      <c r="Z256" s="35">
        <v>0</v>
      </c>
      <c r="AA256" s="36">
        <v>0</v>
      </c>
      <c r="AB256" s="36">
        <v>0</v>
      </c>
      <c r="AC256" s="35">
        <v>0</v>
      </c>
    </row>
    <row r="257" spans="1:29" x14ac:dyDescent="0.3">
      <c r="A257" s="21" t="s">
        <v>357</v>
      </c>
      <c r="B257" s="35">
        <v>0</v>
      </c>
      <c r="C257" s="36">
        <v>0</v>
      </c>
      <c r="D257" s="35">
        <v>0</v>
      </c>
      <c r="E257" s="36">
        <v>0</v>
      </c>
      <c r="F257" s="36">
        <v>0</v>
      </c>
      <c r="G257" s="35">
        <v>0</v>
      </c>
      <c r="H257" s="36">
        <v>0</v>
      </c>
      <c r="I257" s="35">
        <v>0</v>
      </c>
      <c r="J257" s="36">
        <v>0</v>
      </c>
      <c r="K257" s="34">
        <v>17</v>
      </c>
      <c r="L257" s="35">
        <v>0</v>
      </c>
      <c r="M257" s="36">
        <v>0</v>
      </c>
      <c r="N257" s="35">
        <v>0</v>
      </c>
      <c r="O257" s="35">
        <v>0</v>
      </c>
      <c r="P257" s="35">
        <v>0</v>
      </c>
      <c r="Q257" s="36">
        <v>0</v>
      </c>
      <c r="R257" s="35">
        <v>0</v>
      </c>
      <c r="S257" s="35">
        <v>0</v>
      </c>
      <c r="T257" s="36">
        <v>0</v>
      </c>
      <c r="U257" s="35">
        <v>0</v>
      </c>
      <c r="V257" s="36">
        <v>0</v>
      </c>
      <c r="W257" s="36">
        <v>0</v>
      </c>
      <c r="X257" s="35">
        <v>0</v>
      </c>
      <c r="Y257" s="36">
        <v>0</v>
      </c>
      <c r="Z257" s="35">
        <v>0</v>
      </c>
      <c r="AA257" s="36">
        <v>0</v>
      </c>
      <c r="AB257" s="36">
        <v>0</v>
      </c>
      <c r="AC257" s="35">
        <v>0</v>
      </c>
    </row>
    <row r="258" spans="1:29" x14ac:dyDescent="0.3">
      <c r="A258" s="21" t="s">
        <v>358</v>
      </c>
      <c r="B258" s="35">
        <v>0</v>
      </c>
      <c r="C258" s="36">
        <v>0</v>
      </c>
      <c r="D258" s="35">
        <v>0</v>
      </c>
      <c r="E258" s="36">
        <v>0</v>
      </c>
      <c r="F258" s="36">
        <v>0</v>
      </c>
      <c r="G258" s="35">
        <v>0</v>
      </c>
      <c r="H258" s="36">
        <v>0</v>
      </c>
      <c r="I258" s="35">
        <v>0</v>
      </c>
      <c r="J258" s="36">
        <v>0</v>
      </c>
      <c r="K258" s="36">
        <v>0</v>
      </c>
      <c r="L258" s="35">
        <v>0</v>
      </c>
      <c r="M258" s="36">
        <v>0</v>
      </c>
      <c r="N258" s="35">
        <v>0</v>
      </c>
      <c r="O258" s="35">
        <v>0</v>
      </c>
      <c r="P258" s="35">
        <v>0</v>
      </c>
      <c r="Q258" s="36">
        <v>0</v>
      </c>
      <c r="R258" s="35">
        <v>0</v>
      </c>
      <c r="S258" s="35">
        <v>0</v>
      </c>
      <c r="T258" s="36">
        <v>0</v>
      </c>
      <c r="U258" s="35">
        <v>0</v>
      </c>
      <c r="V258" s="36">
        <v>0</v>
      </c>
      <c r="W258" s="36">
        <v>0</v>
      </c>
      <c r="X258" s="35">
        <v>0</v>
      </c>
      <c r="Y258" s="36">
        <v>0</v>
      </c>
      <c r="Z258" s="35">
        <v>0</v>
      </c>
      <c r="AA258" s="36">
        <v>0</v>
      </c>
      <c r="AB258" s="36">
        <v>0</v>
      </c>
      <c r="AC258" s="35">
        <v>0</v>
      </c>
    </row>
    <row r="259" spans="1:29" x14ac:dyDescent="0.3">
      <c r="A259" s="21" t="s">
        <v>359</v>
      </c>
      <c r="B259" s="35">
        <v>0</v>
      </c>
      <c r="C259" s="36">
        <v>0</v>
      </c>
      <c r="D259" s="35">
        <v>0</v>
      </c>
      <c r="E259" s="36">
        <v>0</v>
      </c>
      <c r="F259" s="36">
        <v>0</v>
      </c>
      <c r="G259" s="35">
        <v>0</v>
      </c>
      <c r="H259" s="36">
        <v>0</v>
      </c>
      <c r="I259" s="35">
        <v>0</v>
      </c>
      <c r="J259" s="36">
        <v>0</v>
      </c>
      <c r="K259" s="36">
        <v>0</v>
      </c>
      <c r="L259" s="35">
        <v>0</v>
      </c>
      <c r="M259" s="36">
        <v>0</v>
      </c>
      <c r="N259" s="35">
        <v>0</v>
      </c>
      <c r="O259" s="35">
        <v>0</v>
      </c>
      <c r="P259" s="35">
        <v>0</v>
      </c>
      <c r="Q259" s="36">
        <v>0</v>
      </c>
      <c r="R259" s="35">
        <v>0</v>
      </c>
      <c r="S259" s="35">
        <v>0</v>
      </c>
      <c r="T259" s="36">
        <v>0</v>
      </c>
      <c r="U259" s="35">
        <v>0</v>
      </c>
      <c r="V259" s="36">
        <v>0</v>
      </c>
      <c r="W259" s="36">
        <v>0</v>
      </c>
      <c r="X259" s="35">
        <v>0</v>
      </c>
      <c r="Y259" s="36">
        <v>0</v>
      </c>
      <c r="Z259" s="35">
        <v>0</v>
      </c>
      <c r="AA259" s="36">
        <v>0</v>
      </c>
      <c r="AB259" s="36">
        <v>0</v>
      </c>
      <c r="AC259" s="35">
        <v>0</v>
      </c>
    </row>
    <row r="260" spans="1:29" x14ac:dyDescent="0.3">
      <c r="A260" s="27" t="s">
        <v>360</v>
      </c>
      <c r="B260" s="35">
        <v>0</v>
      </c>
      <c r="C260" s="36">
        <v>0</v>
      </c>
      <c r="D260" s="35">
        <v>0</v>
      </c>
      <c r="E260" s="36">
        <v>0</v>
      </c>
      <c r="F260" s="36">
        <v>0</v>
      </c>
      <c r="G260" s="35">
        <v>0</v>
      </c>
      <c r="H260" s="36">
        <v>0</v>
      </c>
      <c r="I260" s="35">
        <v>0</v>
      </c>
      <c r="J260" s="36">
        <v>0</v>
      </c>
      <c r="K260" s="36">
        <v>0</v>
      </c>
      <c r="L260" s="35">
        <v>0</v>
      </c>
      <c r="M260" s="36">
        <v>0</v>
      </c>
      <c r="N260" s="35">
        <v>0</v>
      </c>
      <c r="O260" s="35">
        <v>0</v>
      </c>
      <c r="P260" s="35">
        <v>0</v>
      </c>
      <c r="Q260" s="36">
        <v>0</v>
      </c>
      <c r="R260" s="35">
        <v>0</v>
      </c>
      <c r="S260" s="35">
        <v>0</v>
      </c>
      <c r="T260" s="36">
        <v>0</v>
      </c>
      <c r="U260" s="35">
        <v>0</v>
      </c>
      <c r="V260" s="36">
        <v>0</v>
      </c>
      <c r="W260" s="36">
        <v>0</v>
      </c>
      <c r="X260" s="35">
        <v>0</v>
      </c>
      <c r="Y260" s="36">
        <v>0</v>
      </c>
      <c r="Z260" s="35">
        <v>0</v>
      </c>
      <c r="AA260" s="36">
        <v>0</v>
      </c>
      <c r="AB260" s="36">
        <v>0</v>
      </c>
      <c r="AC260" s="35">
        <v>0</v>
      </c>
    </row>
    <row r="261" spans="1:29" x14ac:dyDescent="0.3">
      <c r="A261" s="21" t="s">
        <v>361</v>
      </c>
      <c r="B261" s="35">
        <v>0</v>
      </c>
      <c r="C261" s="36">
        <v>0</v>
      </c>
      <c r="D261" s="35">
        <v>0</v>
      </c>
      <c r="E261" s="36">
        <v>0</v>
      </c>
      <c r="F261" s="36">
        <v>0</v>
      </c>
      <c r="G261" s="35">
        <v>0</v>
      </c>
      <c r="H261" s="36">
        <v>0</v>
      </c>
      <c r="I261" s="29">
        <v>20</v>
      </c>
      <c r="J261" s="36">
        <v>0</v>
      </c>
      <c r="K261" s="36">
        <v>0</v>
      </c>
      <c r="L261" s="35">
        <v>0</v>
      </c>
      <c r="M261" s="34">
        <v>40</v>
      </c>
      <c r="N261" s="35">
        <v>0</v>
      </c>
      <c r="O261" s="35">
        <v>0</v>
      </c>
      <c r="P261" s="35">
        <v>0</v>
      </c>
      <c r="Q261" s="36">
        <v>0</v>
      </c>
      <c r="R261" s="35">
        <v>0</v>
      </c>
      <c r="S261" s="35">
        <v>0</v>
      </c>
      <c r="T261" s="36">
        <v>0</v>
      </c>
      <c r="U261" s="35">
        <v>0</v>
      </c>
      <c r="V261" s="36">
        <v>0</v>
      </c>
      <c r="W261" s="36">
        <v>0</v>
      </c>
      <c r="X261" s="35">
        <v>0</v>
      </c>
      <c r="Y261" s="36">
        <v>0</v>
      </c>
      <c r="Z261" s="35">
        <v>0</v>
      </c>
      <c r="AA261" s="36">
        <v>0</v>
      </c>
      <c r="AB261" s="36">
        <v>0</v>
      </c>
      <c r="AC261" s="35">
        <v>0</v>
      </c>
    </row>
    <row r="262" spans="1:29" x14ac:dyDescent="0.3">
      <c r="A262" s="21" t="s">
        <v>362</v>
      </c>
      <c r="B262" s="35">
        <v>0</v>
      </c>
      <c r="C262" s="36">
        <v>0</v>
      </c>
      <c r="D262" s="35">
        <v>0</v>
      </c>
      <c r="E262" s="36">
        <v>0</v>
      </c>
      <c r="F262" s="36">
        <v>0</v>
      </c>
      <c r="G262" s="35">
        <v>0</v>
      </c>
      <c r="H262" s="36">
        <v>0</v>
      </c>
      <c r="I262" s="35">
        <v>0</v>
      </c>
      <c r="J262" s="36">
        <v>0</v>
      </c>
      <c r="K262" s="36">
        <v>0</v>
      </c>
      <c r="L262" s="35">
        <v>0</v>
      </c>
      <c r="M262" s="36">
        <v>0</v>
      </c>
      <c r="N262" s="35">
        <v>0</v>
      </c>
      <c r="O262" s="35">
        <v>0</v>
      </c>
      <c r="P262" s="35">
        <v>0</v>
      </c>
      <c r="Q262" s="36">
        <v>0</v>
      </c>
      <c r="R262" s="35">
        <v>0</v>
      </c>
      <c r="S262" s="35">
        <v>0</v>
      </c>
      <c r="T262" s="36">
        <v>0</v>
      </c>
      <c r="U262" s="35">
        <v>0</v>
      </c>
      <c r="V262" s="36">
        <v>0</v>
      </c>
      <c r="W262" s="36">
        <v>0</v>
      </c>
      <c r="X262" s="35">
        <v>0</v>
      </c>
      <c r="Y262" s="36">
        <v>0</v>
      </c>
      <c r="Z262" s="35">
        <v>0</v>
      </c>
      <c r="AA262" s="36">
        <v>0</v>
      </c>
      <c r="AB262" s="36">
        <v>0</v>
      </c>
      <c r="AC262" s="35">
        <v>0</v>
      </c>
    </row>
    <row r="263" spans="1:29" x14ac:dyDescent="0.3">
      <c r="A263" s="21" t="s">
        <v>363</v>
      </c>
      <c r="B263" s="35">
        <v>0</v>
      </c>
      <c r="C263" s="34">
        <v>10</v>
      </c>
      <c r="D263" s="29">
        <v>14</v>
      </c>
      <c r="E263" s="34">
        <v>43</v>
      </c>
      <c r="F263" s="36">
        <v>0</v>
      </c>
      <c r="G263" s="29">
        <v>60</v>
      </c>
      <c r="H263" s="34">
        <v>20</v>
      </c>
      <c r="I263" s="29">
        <v>40</v>
      </c>
      <c r="J263" s="34">
        <v>20</v>
      </c>
      <c r="K263" s="34">
        <v>67</v>
      </c>
      <c r="L263" s="29">
        <v>160</v>
      </c>
      <c r="M263" s="34">
        <v>80</v>
      </c>
      <c r="N263" s="29">
        <v>63</v>
      </c>
      <c r="O263" s="29">
        <v>17</v>
      </c>
      <c r="P263" s="29">
        <v>5</v>
      </c>
      <c r="Q263" s="34">
        <v>3</v>
      </c>
      <c r="R263" s="35">
        <v>0</v>
      </c>
      <c r="S263" s="35">
        <v>0</v>
      </c>
      <c r="T263" s="34">
        <v>37</v>
      </c>
      <c r="U263" s="29">
        <v>100</v>
      </c>
      <c r="V263" s="34">
        <v>12</v>
      </c>
      <c r="W263" s="36">
        <v>0</v>
      </c>
      <c r="X263" s="35">
        <v>0</v>
      </c>
      <c r="Y263" s="34">
        <v>12</v>
      </c>
      <c r="Z263" s="29">
        <v>31</v>
      </c>
      <c r="AA263" s="34">
        <v>3</v>
      </c>
      <c r="AB263" s="34">
        <v>25</v>
      </c>
      <c r="AC263" s="35">
        <v>0</v>
      </c>
    </row>
    <row r="264" spans="1:29" x14ac:dyDescent="0.3">
      <c r="A264" s="27" t="s">
        <v>364</v>
      </c>
      <c r="B264" s="29">
        <v>22</v>
      </c>
      <c r="C264" s="36">
        <v>0</v>
      </c>
      <c r="D264" s="29">
        <v>157</v>
      </c>
      <c r="E264" s="34">
        <v>29</v>
      </c>
      <c r="F264" s="36">
        <v>0</v>
      </c>
      <c r="G264" s="29">
        <v>80</v>
      </c>
      <c r="H264" s="34">
        <v>100</v>
      </c>
      <c r="I264" s="29">
        <v>20</v>
      </c>
      <c r="J264" s="34">
        <v>20</v>
      </c>
      <c r="K264" s="34">
        <v>17</v>
      </c>
      <c r="L264" s="29">
        <v>340</v>
      </c>
      <c r="M264" s="34">
        <v>80</v>
      </c>
      <c r="N264" s="29">
        <v>75</v>
      </c>
      <c r="O264" s="29">
        <v>117</v>
      </c>
      <c r="P264" s="29">
        <v>14</v>
      </c>
      <c r="Q264" s="34">
        <v>3</v>
      </c>
      <c r="R264" s="35">
        <v>0</v>
      </c>
      <c r="S264" s="29">
        <v>7</v>
      </c>
      <c r="T264" s="34">
        <v>21</v>
      </c>
      <c r="U264" s="29">
        <v>55</v>
      </c>
      <c r="V264" s="34">
        <v>4</v>
      </c>
      <c r="W264" s="34">
        <v>15</v>
      </c>
      <c r="X264" s="35">
        <v>0</v>
      </c>
      <c r="Y264" s="34">
        <v>24</v>
      </c>
      <c r="Z264" s="29">
        <v>31</v>
      </c>
      <c r="AA264" s="36">
        <v>0</v>
      </c>
      <c r="AB264" s="36">
        <v>0</v>
      </c>
      <c r="AC264" s="29">
        <v>14</v>
      </c>
    </row>
    <row r="265" spans="1:29" x14ac:dyDescent="0.3">
      <c r="A265" s="21" t="s">
        <v>119</v>
      </c>
      <c r="B265" s="35">
        <v>0</v>
      </c>
      <c r="C265" s="36">
        <v>0</v>
      </c>
      <c r="D265" s="35">
        <v>0</v>
      </c>
      <c r="E265" s="36">
        <v>0</v>
      </c>
      <c r="F265" s="36">
        <v>0</v>
      </c>
      <c r="G265" s="35">
        <v>0</v>
      </c>
      <c r="H265" s="36">
        <v>0</v>
      </c>
      <c r="I265" s="35">
        <v>0</v>
      </c>
      <c r="J265" s="36">
        <v>0</v>
      </c>
      <c r="K265" s="36">
        <v>0</v>
      </c>
      <c r="L265" s="35">
        <v>0</v>
      </c>
      <c r="M265" s="36">
        <v>0</v>
      </c>
      <c r="N265" s="35">
        <v>0</v>
      </c>
      <c r="O265" s="35">
        <v>0</v>
      </c>
      <c r="P265" s="35">
        <v>0</v>
      </c>
      <c r="Q265" s="36">
        <v>0</v>
      </c>
      <c r="R265" s="35">
        <v>0</v>
      </c>
      <c r="S265" s="35">
        <v>0</v>
      </c>
      <c r="T265" s="36">
        <v>0</v>
      </c>
      <c r="U265" s="35">
        <v>0</v>
      </c>
      <c r="V265" s="36">
        <v>0</v>
      </c>
      <c r="W265" s="36">
        <v>0</v>
      </c>
      <c r="X265" s="35">
        <v>0</v>
      </c>
      <c r="Y265" s="36">
        <v>0</v>
      </c>
      <c r="Z265" s="35">
        <v>0</v>
      </c>
      <c r="AA265" s="36">
        <v>0</v>
      </c>
      <c r="AB265" s="36">
        <v>0</v>
      </c>
      <c r="AC265" s="35">
        <v>0</v>
      </c>
    </row>
    <row r="266" spans="1:29" x14ac:dyDescent="0.3">
      <c r="A266" s="21" t="s">
        <v>365</v>
      </c>
      <c r="B266" s="35">
        <v>0</v>
      </c>
      <c r="C266" s="36">
        <v>0</v>
      </c>
      <c r="D266" s="35">
        <v>0</v>
      </c>
      <c r="E266" s="36">
        <v>0</v>
      </c>
      <c r="F266" s="36">
        <v>0</v>
      </c>
      <c r="G266" s="35">
        <v>0</v>
      </c>
      <c r="H266" s="36">
        <v>0</v>
      </c>
      <c r="I266" s="35">
        <v>0</v>
      </c>
      <c r="J266" s="36">
        <v>0</v>
      </c>
      <c r="K266" s="36">
        <v>0</v>
      </c>
      <c r="L266" s="35">
        <v>0</v>
      </c>
      <c r="M266" s="36">
        <v>0</v>
      </c>
      <c r="N266" s="35">
        <v>0</v>
      </c>
      <c r="O266" s="35">
        <v>0</v>
      </c>
      <c r="P266" s="35">
        <v>0</v>
      </c>
      <c r="Q266" s="36">
        <v>0</v>
      </c>
      <c r="R266" s="35">
        <v>0</v>
      </c>
      <c r="S266" s="35">
        <v>0</v>
      </c>
      <c r="T266" s="36">
        <v>0</v>
      </c>
      <c r="U266" s="35">
        <v>0</v>
      </c>
      <c r="V266" s="36">
        <v>0</v>
      </c>
      <c r="W266" s="36">
        <v>0</v>
      </c>
      <c r="X266" s="35">
        <v>0</v>
      </c>
      <c r="Y266" s="36">
        <v>0</v>
      </c>
      <c r="Z266" s="35">
        <v>0</v>
      </c>
      <c r="AA266" s="36">
        <v>0</v>
      </c>
      <c r="AB266" s="36">
        <v>0</v>
      </c>
      <c r="AC266" s="35">
        <v>0</v>
      </c>
    </row>
    <row r="267" spans="1:29" x14ac:dyDescent="0.3">
      <c r="A267" s="21" t="s">
        <v>366</v>
      </c>
      <c r="B267" s="35">
        <v>0</v>
      </c>
      <c r="C267" s="36">
        <v>0</v>
      </c>
      <c r="D267" s="35">
        <v>0</v>
      </c>
      <c r="E267" s="36">
        <v>0</v>
      </c>
      <c r="F267" s="36">
        <v>0</v>
      </c>
      <c r="G267" s="35">
        <v>0</v>
      </c>
      <c r="H267" s="36">
        <v>0</v>
      </c>
      <c r="I267" s="35">
        <v>0</v>
      </c>
      <c r="J267" s="36">
        <v>0</v>
      </c>
      <c r="K267" s="36">
        <v>0</v>
      </c>
      <c r="L267" s="35">
        <v>0</v>
      </c>
      <c r="M267" s="36">
        <v>0</v>
      </c>
      <c r="N267" s="35">
        <v>0</v>
      </c>
      <c r="O267" s="35">
        <v>0</v>
      </c>
      <c r="P267" s="35">
        <v>0</v>
      </c>
      <c r="Q267" s="36">
        <v>0</v>
      </c>
      <c r="R267" s="35">
        <v>0</v>
      </c>
      <c r="S267" s="35">
        <v>0</v>
      </c>
      <c r="T267" s="36">
        <v>0</v>
      </c>
      <c r="U267" s="35">
        <v>0</v>
      </c>
      <c r="V267" s="36">
        <v>0</v>
      </c>
      <c r="W267" s="36">
        <v>0</v>
      </c>
      <c r="X267" s="35">
        <v>0</v>
      </c>
      <c r="Y267" s="36">
        <v>0</v>
      </c>
      <c r="Z267" s="35">
        <v>0</v>
      </c>
      <c r="AA267" s="36">
        <v>0</v>
      </c>
      <c r="AB267" s="36">
        <v>0</v>
      </c>
      <c r="AC267" s="35">
        <v>0</v>
      </c>
    </row>
    <row r="268" spans="1:29" x14ac:dyDescent="0.3">
      <c r="A268" s="21" t="s">
        <v>367</v>
      </c>
      <c r="B268" s="35">
        <v>0</v>
      </c>
      <c r="C268" s="36">
        <v>0</v>
      </c>
      <c r="D268" s="35">
        <v>0</v>
      </c>
      <c r="E268" s="36">
        <v>0</v>
      </c>
      <c r="F268" s="36">
        <v>0</v>
      </c>
      <c r="G268" s="35">
        <v>0</v>
      </c>
      <c r="H268" s="36">
        <v>0</v>
      </c>
      <c r="I268" s="35">
        <v>0</v>
      </c>
      <c r="J268" s="36">
        <v>0</v>
      </c>
      <c r="K268" s="36">
        <v>0</v>
      </c>
      <c r="L268" s="35">
        <v>0</v>
      </c>
      <c r="M268" s="36">
        <v>0</v>
      </c>
      <c r="N268" s="35">
        <v>0</v>
      </c>
      <c r="O268" s="35">
        <v>0</v>
      </c>
      <c r="P268" s="35">
        <v>0</v>
      </c>
      <c r="Q268" s="36">
        <v>0</v>
      </c>
      <c r="R268" s="35">
        <v>0</v>
      </c>
      <c r="S268" s="35">
        <v>0</v>
      </c>
      <c r="T268" s="36">
        <v>0</v>
      </c>
      <c r="U268" s="35">
        <v>0</v>
      </c>
      <c r="V268" s="36">
        <v>0</v>
      </c>
      <c r="W268" s="36">
        <v>0</v>
      </c>
      <c r="X268" s="35">
        <v>0</v>
      </c>
      <c r="Y268" s="36">
        <v>0</v>
      </c>
      <c r="Z268" s="35">
        <v>0</v>
      </c>
      <c r="AA268" s="36">
        <v>0</v>
      </c>
      <c r="AB268" s="36">
        <v>0</v>
      </c>
      <c r="AC268" s="35">
        <v>0</v>
      </c>
    </row>
    <row r="269" spans="1:29" x14ac:dyDescent="0.3">
      <c r="A269" s="21" t="s">
        <v>368</v>
      </c>
      <c r="B269" s="35">
        <v>0</v>
      </c>
      <c r="C269" s="36">
        <v>0</v>
      </c>
      <c r="D269" s="35">
        <v>0</v>
      </c>
      <c r="E269" s="36">
        <v>0</v>
      </c>
      <c r="F269" s="36">
        <v>0</v>
      </c>
      <c r="G269" s="35">
        <v>0</v>
      </c>
      <c r="H269" s="36">
        <v>0</v>
      </c>
      <c r="I269" s="35">
        <v>0</v>
      </c>
      <c r="J269" s="36">
        <v>0</v>
      </c>
      <c r="K269" s="36">
        <v>0</v>
      </c>
      <c r="L269" s="35">
        <v>0</v>
      </c>
      <c r="M269" s="36">
        <v>0</v>
      </c>
      <c r="N269" s="35">
        <v>0</v>
      </c>
      <c r="O269" s="35">
        <v>0</v>
      </c>
      <c r="P269" s="35">
        <v>0</v>
      </c>
      <c r="Q269" s="36">
        <v>0</v>
      </c>
      <c r="R269" s="35">
        <v>0</v>
      </c>
      <c r="S269" s="35">
        <v>0</v>
      </c>
      <c r="T269" s="36">
        <v>0</v>
      </c>
      <c r="U269" s="35">
        <v>0</v>
      </c>
      <c r="V269" s="36">
        <v>0</v>
      </c>
      <c r="W269" s="36">
        <v>0</v>
      </c>
      <c r="X269" s="35">
        <v>0</v>
      </c>
      <c r="Y269" s="36">
        <v>0</v>
      </c>
      <c r="Z269" s="35">
        <v>0</v>
      </c>
      <c r="AA269" s="36">
        <v>0</v>
      </c>
      <c r="AB269" s="36">
        <v>0</v>
      </c>
      <c r="AC269" s="35">
        <v>0</v>
      </c>
    </row>
    <row r="270" spans="1:29" x14ac:dyDescent="0.3">
      <c r="A270" s="27" t="s">
        <v>369</v>
      </c>
      <c r="B270" s="35">
        <v>0</v>
      </c>
      <c r="C270" s="36">
        <v>0</v>
      </c>
      <c r="D270" s="35">
        <v>0</v>
      </c>
      <c r="E270" s="36">
        <v>0</v>
      </c>
      <c r="F270" s="36">
        <v>0</v>
      </c>
      <c r="G270" s="35">
        <v>0</v>
      </c>
      <c r="H270" s="36">
        <v>0</v>
      </c>
      <c r="I270" s="35">
        <v>0</v>
      </c>
      <c r="J270" s="36">
        <v>0</v>
      </c>
      <c r="K270" s="36">
        <v>0</v>
      </c>
      <c r="L270" s="35">
        <v>0</v>
      </c>
      <c r="M270" s="36">
        <v>0</v>
      </c>
      <c r="N270" s="35">
        <v>0</v>
      </c>
      <c r="O270" s="35">
        <v>0</v>
      </c>
      <c r="P270" s="35">
        <v>0</v>
      </c>
      <c r="Q270" s="36">
        <v>0</v>
      </c>
      <c r="R270" s="35">
        <v>0</v>
      </c>
      <c r="S270" s="35">
        <v>0</v>
      </c>
      <c r="T270" s="36">
        <v>0</v>
      </c>
      <c r="U270" s="35">
        <v>0</v>
      </c>
      <c r="V270" s="36">
        <v>0</v>
      </c>
      <c r="W270" s="36">
        <v>0</v>
      </c>
      <c r="X270" s="35">
        <v>0</v>
      </c>
      <c r="Y270" s="36">
        <v>0</v>
      </c>
      <c r="Z270" s="35">
        <v>0</v>
      </c>
      <c r="AA270" s="36">
        <v>0</v>
      </c>
      <c r="AB270" s="36">
        <v>0</v>
      </c>
      <c r="AC270" s="35">
        <v>0</v>
      </c>
    </row>
    <row r="271" spans="1:29" x14ac:dyDescent="0.3">
      <c r="A271" s="21" t="s">
        <v>370</v>
      </c>
      <c r="B271" s="35">
        <v>0</v>
      </c>
      <c r="C271" s="36">
        <v>0</v>
      </c>
      <c r="D271" s="35">
        <v>0</v>
      </c>
      <c r="E271" s="36">
        <v>0</v>
      </c>
      <c r="F271" s="36">
        <v>0</v>
      </c>
      <c r="G271" s="35">
        <v>0</v>
      </c>
      <c r="H271" s="36">
        <v>0</v>
      </c>
      <c r="I271" s="35">
        <v>0</v>
      </c>
      <c r="J271" s="36">
        <v>0</v>
      </c>
      <c r="K271" s="36">
        <v>0</v>
      </c>
      <c r="L271" s="35">
        <v>0</v>
      </c>
      <c r="M271" s="36">
        <v>0</v>
      </c>
      <c r="N271" s="35">
        <v>0</v>
      </c>
      <c r="O271" s="35">
        <v>0</v>
      </c>
      <c r="P271" s="35">
        <v>0</v>
      </c>
      <c r="Q271" s="36">
        <v>0</v>
      </c>
      <c r="R271" s="35">
        <v>0</v>
      </c>
      <c r="S271" s="35">
        <v>0</v>
      </c>
      <c r="T271" s="36">
        <v>0</v>
      </c>
      <c r="U271" s="35">
        <v>0</v>
      </c>
      <c r="V271" s="36">
        <v>0</v>
      </c>
      <c r="W271" s="36">
        <v>0</v>
      </c>
      <c r="X271" s="35">
        <v>0</v>
      </c>
      <c r="Y271" s="36">
        <v>0</v>
      </c>
      <c r="Z271" s="35">
        <v>0</v>
      </c>
      <c r="AA271" s="36">
        <v>0</v>
      </c>
      <c r="AB271" s="36">
        <v>0</v>
      </c>
      <c r="AC271" s="35">
        <v>0</v>
      </c>
    </row>
    <row r="272" spans="1:29" x14ac:dyDescent="0.3">
      <c r="A272" s="27" t="s">
        <v>371</v>
      </c>
      <c r="B272" s="35">
        <v>0</v>
      </c>
      <c r="C272" s="36">
        <v>0</v>
      </c>
      <c r="D272" s="35">
        <v>0</v>
      </c>
      <c r="E272" s="36">
        <v>0</v>
      </c>
      <c r="F272" s="36">
        <v>0</v>
      </c>
      <c r="G272" s="35">
        <v>0</v>
      </c>
      <c r="H272" s="36">
        <v>0</v>
      </c>
      <c r="I272" s="35">
        <v>0</v>
      </c>
      <c r="J272" s="36">
        <v>0</v>
      </c>
      <c r="K272" s="36">
        <v>0</v>
      </c>
      <c r="L272" s="35">
        <v>0</v>
      </c>
      <c r="M272" s="36">
        <v>0</v>
      </c>
      <c r="N272" s="35">
        <v>0</v>
      </c>
      <c r="O272" s="35">
        <v>0</v>
      </c>
      <c r="P272" s="35">
        <v>0</v>
      </c>
      <c r="Q272" s="36">
        <v>0</v>
      </c>
      <c r="R272" s="35">
        <v>0</v>
      </c>
      <c r="S272" s="35">
        <v>0</v>
      </c>
      <c r="T272" s="36">
        <v>0</v>
      </c>
      <c r="U272" s="35">
        <v>0</v>
      </c>
      <c r="V272" s="36">
        <v>0</v>
      </c>
      <c r="W272" s="36">
        <v>0</v>
      </c>
      <c r="X272" s="35">
        <v>0</v>
      </c>
      <c r="Y272" s="36">
        <v>0</v>
      </c>
      <c r="Z272" s="35">
        <v>0</v>
      </c>
      <c r="AA272" s="36">
        <v>0</v>
      </c>
      <c r="AB272" s="36">
        <v>0</v>
      </c>
      <c r="AC272" s="35">
        <v>0</v>
      </c>
    </row>
    <row r="273" spans="1:29" x14ac:dyDescent="0.3">
      <c r="A273" s="21" t="s">
        <v>372</v>
      </c>
      <c r="B273" s="35">
        <v>0</v>
      </c>
      <c r="C273" s="36">
        <v>0</v>
      </c>
      <c r="D273" s="35">
        <v>0</v>
      </c>
      <c r="E273" s="36">
        <v>0</v>
      </c>
      <c r="F273" s="36">
        <v>0</v>
      </c>
      <c r="G273" s="35">
        <v>0</v>
      </c>
      <c r="H273" s="36">
        <v>0</v>
      </c>
      <c r="I273" s="35">
        <v>0</v>
      </c>
      <c r="J273" s="36">
        <v>0</v>
      </c>
      <c r="K273" s="36">
        <v>0</v>
      </c>
      <c r="L273" s="35">
        <v>0</v>
      </c>
      <c r="M273" s="36">
        <v>0</v>
      </c>
      <c r="N273" s="35">
        <v>0</v>
      </c>
      <c r="O273" s="35">
        <v>0</v>
      </c>
      <c r="P273" s="35">
        <v>0</v>
      </c>
      <c r="Q273" s="36">
        <v>0</v>
      </c>
      <c r="R273" s="35">
        <v>0</v>
      </c>
      <c r="S273" s="35">
        <v>0</v>
      </c>
      <c r="T273" s="36">
        <v>0</v>
      </c>
      <c r="U273" s="35">
        <v>0</v>
      </c>
      <c r="V273" s="36">
        <v>0</v>
      </c>
      <c r="W273" s="36">
        <v>0</v>
      </c>
      <c r="X273" s="35">
        <v>0</v>
      </c>
      <c r="Y273" s="36">
        <v>0</v>
      </c>
      <c r="Z273" s="35">
        <v>0</v>
      </c>
      <c r="AA273" s="36">
        <v>0</v>
      </c>
      <c r="AB273" s="36">
        <v>0</v>
      </c>
      <c r="AC273" s="35">
        <v>0</v>
      </c>
    </row>
    <row r="274" spans="1:29" x14ac:dyDescent="0.3">
      <c r="A274" s="27" t="s">
        <v>373</v>
      </c>
      <c r="B274" s="35">
        <v>0</v>
      </c>
      <c r="C274" s="36">
        <v>0</v>
      </c>
      <c r="D274" s="29">
        <v>14</v>
      </c>
      <c r="E274" s="36">
        <v>0</v>
      </c>
      <c r="F274" s="36">
        <v>0</v>
      </c>
      <c r="G274" s="35">
        <v>0</v>
      </c>
      <c r="H274" s="36">
        <v>0</v>
      </c>
      <c r="I274" s="35">
        <v>0</v>
      </c>
      <c r="J274" s="36">
        <v>0</v>
      </c>
      <c r="K274" s="36">
        <v>0</v>
      </c>
      <c r="L274" s="35">
        <v>0</v>
      </c>
      <c r="M274" s="36">
        <v>0</v>
      </c>
      <c r="N274" s="35">
        <v>0</v>
      </c>
      <c r="O274" s="35">
        <v>0</v>
      </c>
      <c r="P274" s="35">
        <v>0</v>
      </c>
      <c r="Q274" s="36">
        <v>0</v>
      </c>
      <c r="R274" s="35">
        <v>0</v>
      </c>
      <c r="S274" s="35">
        <v>0</v>
      </c>
      <c r="T274" s="36">
        <v>0</v>
      </c>
      <c r="U274" s="35">
        <v>0</v>
      </c>
      <c r="V274" s="36">
        <v>0</v>
      </c>
      <c r="W274" s="36">
        <v>0</v>
      </c>
      <c r="X274" s="35">
        <v>0</v>
      </c>
      <c r="Y274" s="36">
        <v>0</v>
      </c>
      <c r="Z274" s="35">
        <v>0</v>
      </c>
      <c r="AA274" s="36">
        <v>0</v>
      </c>
      <c r="AB274" s="36">
        <v>0</v>
      </c>
      <c r="AC274" s="35">
        <v>0</v>
      </c>
    </row>
    <row r="275" spans="1:29" x14ac:dyDescent="0.3">
      <c r="A275" s="21" t="s">
        <v>119</v>
      </c>
      <c r="B275" s="35">
        <v>0</v>
      </c>
      <c r="C275" s="36">
        <v>0</v>
      </c>
      <c r="D275" s="35">
        <v>0</v>
      </c>
      <c r="E275" s="36">
        <v>0</v>
      </c>
      <c r="F275" s="36">
        <v>0</v>
      </c>
      <c r="G275" s="35">
        <v>0</v>
      </c>
      <c r="H275" s="36">
        <v>0</v>
      </c>
      <c r="I275" s="35">
        <v>0</v>
      </c>
      <c r="J275" s="36">
        <v>0</v>
      </c>
      <c r="K275" s="36">
        <v>0</v>
      </c>
      <c r="L275" s="35">
        <v>0</v>
      </c>
      <c r="M275" s="36">
        <v>0</v>
      </c>
      <c r="N275" s="35">
        <v>0</v>
      </c>
      <c r="O275" s="35">
        <v>0</v>
      </c>
      <c r="P275" s="35">
        <v>0</v>
      </c>
      <c r="Q275" s="36">
        <v>0</v>
      </c>
      <c r="R275" s="35">
        <v>0</v>
      </c>
      <c r="S275" s="35">
        <v>0</v>
      </c>
      <c r="T275" s="36">
        <v>0</v>
      </c>
      <c r="U275" s="35">
        <v>0</v>
      </c>
      <c r="V275" s="36">
        <v>0</v>
      </c>
      <c r="W275" s="36">
        <v>0</v>
      </c>
      <c r="X275" s="35">
        <v>0</v>
      </c>
      <c r="Y275" s="36">
        <v>0</v>
      </c>
      <c r="Z275" s="35">
        <v>0</v>
      </c>
      <c r="AA275" s="36">
        <v>0</v>
      </c>
      <c r="AB275" s="36">
        <v>0</v>
      </c>
      <c r="AC275" s="35">
        <v>0</v>
      </c>
    </row>
    <row r="276" spans="1:29" x14ac:dyDescent="0.3">
      <c r="A276" s="21" t="s">
        <v>374</v>
      </c>
      <c r="B276" s="35">
        <v>0</v>
      </c>
      <c r="C276" s="36">
        <v>0</v>
      </c>
      <c r="D276" s="35">
        <v>0</v>
      </c>
      <c r="E276" s="36">
        <v>0</v>
      </c>
      <c r="F276" s="36">
        <v>0</v>
      </c>
      <c r="G276" s="35">
        <v>0</v>
      </c>
      <c r="H276" s="36">
        <v>0</v>
      </c>
      <c r="I276" s="35">
        <v>0</v>
      </c>
      <c r="J276" s="36">
        <v>0</v>
      </c>
      <c r="K276" s="36">
        <v>0</v>
      </c>
      <c r="L276" s="35">
        <v>0</v>
      </c>
      <c r="M276" s="36">
        <v>0</v>
      </c>
      <c r="N276" s="35">
        <v>0</v>
      </c>
      <c r="O276" s="35">
        <v>0</v>
      </c>
      <c r="P276" s="35">
        <v>0</v>
      </c>
      <c r="Q276" s="36">
        <v>0</v>
      </c>
      <c r="R276" s="35">
        <v>0</v>
      </c>
      <c r="S276" s="35">
        <v>0</v>
      </c>
      <c r="T276" s="36">
        <v>0</v>
      </c>
      <c r="U276" s="35">
        <v>0</v>
      </c>
      <c r="V276" s="36">
        <v>0</v>
      </c>
      <c r="W276" s="36">
        <v>0</v>
      </c>
      <c r="X276" s="35">
        <v>0</v>
      </c>
      <c r="Y276" s="36">
        <v>0</v>
      </c>
      <c r="Z276" s="35">
        <v>0</v>
      </c>
      <c r="AA276" s="36">
        <v>0</v>
      </c>
      <c r="AB276" s="36">
        <v>0</v>
      </c>
      <c r="AC276" s="35">
        <v>0</v>
      </c>
    </row>
    <row r="277" spans="1:29" x14ac:dyDescent="0.3">
      <c r="A277" s="21" t="s">
        <v>375</v>
      </c>
      <c r="B277" s="35">
        <v>0</v>
      </c>
      <c r="C277" s="36">
        <v>0</v>
      </c>
      <c r="D277" s="35">
        <v>0</v>
      </c>
      <c r="E277" s="36">
        <v>0</v>
      </c>
      <c r="F277" s="36">
        <v>0</v>
      </c>
      <c r="G277" s="35">
        <v>0</v>
      </c>
      <c r="H277" s="36">
        <v>0</v>
      </c>
      <c r="I277" s="35">
        <v>0</v>
      </c>
      <c r="J277" s="36">
        <v>0</v>
      </c>
      <c r="K277" s="36">
        <v>0</v>
      </c>
      <c r="L277" s="35">
        <v>0</v>
      </c>
      <c r="M277" s="36">
        <v>0</v>
      </c>
      <c r="N277" s="35">
        <v>0</v>
      </c>
      <c r="O277" s="35">
        <v>0</v>
      </c>
      <c r="P277" s="35">
        <v>0</v>
      </c>
      <c r="Q277" s="36">
        <v>0</v>
      </c>
      <c r="R277" s="35">
        <v>0</v>
      </c>
      <c r="S277" s="35">
        <v>0</v>
      </c>
      <c r="T277" s="36">
        <v>0</v>
      </c>
      <c r="U277" s="35">
        <v>0</v>
      </c>
      <c r="V277" s="36">
        <v>0</v>
      </c>
      <c r="W277" s="36">
        <v>0</v>
      </c>
      <c r="X277" s="35">
        <v>0</v>
      </c>
      <c r="Y277" s="36">
        <v>0</v>
      </c>
      <c r="Z277" s="35">
        <v>0</v>
      </c>
      <c r="AA277" s="34">
        <v>3</v>
      </c>
      <c r="AB277" s="36">
        <v>0</v>
      </c>
      <c r="AC277" s="35">
        <v>0</v>
      </c>
    </row>
    <row r="278" spans="1:29" x14ac:dyDescent="0.3">
      <c r="A278" s="21" t="s">
        <v>376</v>
      </c>
      <c r="B278" s="35">
        <v>0</v>
      </c>
      <c r="C278" s="34">
        <v>30</v>
      </c>
      <c r="D278" s="35">
        <v>0</v>
      </c>
      <c r="E278" s="34">
        <v>57</v>
      </c>
      <c r="F278" s="36">
        <v>0</v>
      </c>
      <c r="G278" s="35">
        <v>0</v>
      </c>
      <c r="H278" s="34">
        <v>60</v>
      </c>
      <c r="I278" s="35">
        <v>0</v>
      </c>
      <c r="J278" s="36">
        <v>0</v>
      </c>
      <c r="K278" s="36">
        <v>0</v>
      </c>
      <c r="L278" s="29">
        <v>140</v>
      </c>
      <c r="M278" s="36">
        <v>0</v>
      </c>
      <c r="N278" s="29">
        <v>38</v>
      </c>
      <c r="O278" s="35">
        <v>0</v>
      </c>
      <c r="P278" s="35">
        <v>0</v>
      </c>
      <c r="Q278" s="36">
        <v>0</v>
      </c>
      <c r="R278" s="35">
        <v>0</v>
      </c>
      <c r="S278" s="35">
        <v>0</v>
      </c>
      <c r="T278" s="36">
        <v>0</v>
      </c>
      <c r="U278" s="29">
        <v>9</v>
      </c>
      <c r="V278" s="36">
        <v>0</v>
      </c>
      <c r="W278" s="36">
        <v>0</v>
      </c>
      <c r="X278" s="29">
        <v>13</v>
      </c>
      <c r="Y278" s="36">
        <v>0</v>
      </c>
      <c r="Z278" s="29">
        <v>6</v>
      </c>
      <c r="AA278" s="36">
        <v>0</v>
      </c>
      <c r="AB278" s="36">
        <v>0</v>
      </c>
      <c r="AC278" s="35">
        <v>0</v>
      </c>
    </row>
    <row r="279" spans="1:29" x14ac:dyDescent="0.3">
      <c r="A279" s="21" t="s">
        <v>377</v>
      </c>
      <c r="B279" s="35">
        <v>0</v>
      </c>
      <c r="C279" s="36">
        <v>0</v>
      </c>
      <c r="D279" s="35">
        <v>0</v>
      </c>
      <c r="E279" s="36">
        <v>0</v>
      </c>
      <c r="F279" s="36">
        <v>0</v>
      </c>
      <c r="G279" s="35">
        <v>0</v>
      </c>
      <c r="H279" s="36">
        <v>0</v>
      </c>
      <c r="I279" s="35">
        <v>0</v>
      </c>
      <c r="J279" s="36">
        <v>0</v>
      </c>
      <c r="K279" s="36">
        <v>0</v>
      </c>
      <c r="L279" s="35">
        <v>0</v>
      </c>
      <c r="M279" s="36">
        <v>0</v>
      </c>
      <c r="N279" s="35">
        <v>0</v>
      </c>
      <c r="O279" s="35">
        <v>0</v>
      </c>
      <c r="P279" s="35">
        <v>0</v>
      </c>
      <c r="Q279" s="36">
        <v>0</v>
      </c>
      <c r="R279" s="35">
        <v>0</v>
      </c>
      <c r="S279" s="35">
        <v>0</v>
      </c>
      <c r="T279" s="36">
        <v>0</v>
      </c>
      <c r="U279" s="35">
        <v>0</v>
      </c>
      <c r="V279" s="36">
        <v>0</v>
      </c>
      <c r="W279" s="36">
        <v>0</v>
      </c>
      <c r="X279" s="35">
        <v>0</v>
      </c>
      <c r="Y279" s="36">
        <v>0</v>
      </c>
      <c r="Z279" s="35">
        <v>0</v>
      </c>
      <c r="AA279" s="36">
        <v>0</v>
      </c>
      <c r="AB279" s="36">
        <v>0</v>
      </c>
      <c r="AC279" s="35">
        <v>0</v>
      </c>
    </row>
    <row r="280" spans="1:29" x14ac:dyDescent="0.3">
      <c r="A280" s="27" t="s">
        <v>378</v>
      </c>
      <c r="B280" s="35">
        <v>0</v>
      </c>
      <c r="C280" s="36">
        <v>0</v>
      </c>
      <c r="D280" s="35">
        <v>0</v>
      </c>
      <c r="E280" s="36">
        <v>0</v>
      </c>
      <c r="F280" s="36">
        <v>0</v>
      </c>
      <c r="G280" s="35">
        <v>0</v>
      </c>
      <c r="H280" s="36">
        <v>0</v>
      </c>
      <c r="I280" s="35">
        <v>0</v>
      </c>
      <c r="J280" s="34">
        <v>100</v>
      </c>
      <c r="K280" s="36">
        <v>0</v>
      </c>
      <c r="L280" s="35">
        <v>0</v>
      </c>
      <c r="M280" s="36">
        <v>0</v>
      </c>
      <c r="N280" s="35">
        <v>0</v>
      </c>
      <c r="O280" s="35">
        <v>0</v>
      </c>
      <c r="P280" s="35">
        <v>0</v>
      </c>
      <c r="Q280" s="36">
        <v>0</v>
      </c>
      <c r="R280" s="35">
        <v>0</v>
      </c>
      <c r="S280" s="35">
        <v>0</v>
      </c>
      <c r="T280" s="36">
        <v>0</v>
      </c>
      <c r="U280" s="35">
        <v>0</v>
      </c>
      <c r="V280" s="36">
        <v>0</v>
      </c>
      <c r="W280" s="36">
        <v>0</v>
      </c>
      <c r="X280" s="35">
        <v>0</v>
      </c>
      <c r="Y280" s="36">
        <v>0</v>
      </c>
      <c r="Z280" s="35">
        <v>0</v>
      </c>
      <c r="AA280" s="36">
        <v>0</v>
      </c>
      <c r="AB280" s="36">
        <v>0</v>
      </c>
      <c r="AC280" s="35">
        <v>0</v>
      </c>
    </row>
    <row r="281" spans="1:29" x14ac:dyDescent="0.3">
      <c r="A281" s="21" t="s">
        <v>379</v>
      </c>
      <c r="B281" s="35">
        <v>0</v>
      </c>
      <c r="C281" s="36">
        <v>0</v>
      </c>
      <c r="D281" s="35">
        <v>0</v>
      </c>
      <c r="E281" s="36">
        <v>0</v>
      </c>
      <c r="F281" s="36">
        <v>0</v>
      </c>
      <c r="G281" s="35">
        <v>0</v>
      </c>
      <c r="H281" s="36">
        <v>0</v>
      </c>
      <c r="I281" s="35">
        <v>0</v>
      </c>
      <c r="J281" s="36">
        <v>0</v>
      </c>
      <c r="K281" s="36">
        <v>0</v>
      </c>
      <c r="L281" s="35">
        <v>0</v>
      </c>
      <c r="M281" s="36">
        <v>0</v>
      </c>
      <c r="N281" s="35">
        <v>0</v>
      </c>
      <c r="O281" s="35">
        <v>0</v>
      </c>
      <c r="P281" s="35">
        <v>0</v>
      </c>
      <c r="Q281" s="36">
        <v>0</v>
      </c>
      <c r="R281" s="35">
        <v>0</v>
      </c>
      <c r="S281" s="35">
        <v>0</v>
      </c>
      <c r="T281" s="36">
        <v>0</v>
      </c>
      <c r="U281" s="35">
        <v>0</v>
      </c>
      <c r="V281" s="36">
        <v>0</v>
      </c>
      <c r="W281" s="36">
        <v>0</v>
      </c>
      <c r="X281" s="35">
        <v>0</v>
      </c>
      <c r="Y281" s="36">
        <v>0</v>
      </c>
      <c r="Z281" s="35">
        <v>0</v>
      </c>
      <c r="AA281" s="36">
        <v>0</v>
      </c>
      <c r="AB281" s="36">
        <v>0</v>
      </c>
      <c r="AC281" s="35">
        <v>0</v>
      </c>
    </row>
    <row r="282" spans="1:29" x14ac:dyDescent="0.3">
      <c r="A282" s="27" t="s">
        <v>380</v>
      </c>
      <c r="B282" s="35">
        <v>0</v>
      </c>
      <c r="C282" s="36">
        <v>0</v>
      </c>
      <c r="D282" s="35">
        <v>0</v>
      </c>
      <c r="E282" s="36">
        <v>0</v>
      </c>
      <c r="F282" s="36">
        <v>0</v>
      </c>
      <c r="G282" s="35">
        <v>0</v>
      </c>
      <c r="H282" s="36">
        <v>0</v>
      </c>
      <c r="I282" s="35">
        <v>0</v>
      </c>
      <c r="J282" s="36">
        <v>0</v>
      </c>
      <c r="K282" s="36">
        <v>0</v>
      </c>
      <c r="L282" s="35">
        <v>0</v>
      </c>
      <c r="M282" s="36">
        <v>0</v>
      </c>
      <c r="N282" s="35">
        <v>0</v>
      </c>
      <c r="O282" s="35">
        <v>0</v>
      </c>
      <c r="P282" s="35">
        <v>0</v>
      </c>
      <c r="Q282" s="36">
        <v>0</v>
      </c>
      <c r="R282" s="35">
        <v>0</v>
      </c>
      <c r="S282" s="35">
        <v>0</v>
      </c>
      <c r="T282" s="36">
        <v>0</v>
      </c>
      <c r="U282" s="35">
        <v>0</v>
      </c>
      <c r="V282" s="34">
        <v>4</v>
      </c>
      <c r="W282" s="36">
        <v>0</v>
      </c>
      <c r="X282" s="35">
        <v>0</v>
      </c>
      <c r="Y282" s="34">
        <v>6</v>
      </c>
      <c r="Z282" s="29">
        <v>19</v>
      </c>
      <c r="AA282" s="36">
        <v>0</v>
      </c>
      <c r="AB282" s="36">
        <v>0</v>
      </c>
      <c r="AC282" s="35">
        <v>0</v>
      </c>
    </row>
    <row r="283" spans="1:29" x14ac:dyDescent="0.3">
      <c r="A283" s="21" t="s">
        <v>381</v>
      </c>
      <c r="B283" s="35">
        <v>0</v>
      </c>
      <c r="C283" s="36">
        <v>0</v>
      </c>
      <c r="D283" s="35">
        <v>0</v>
      </c>
      <c r="E283" s="36">
        <v>0</v>
      </c>
      <c r="F283" s="36">
        <v>0</v>
      </c>
      <c r="G283" s="35">
        <v>0</v>
      </c>
      <c r="H283" s="36">
        <v>0</v>
      </c>
      <c r="I283" s="35">
        <v>0</v>
      </c>
      <c r="J283" s="36">
        <v>0</v>
      </c>
      <c r="K283" s="36">
        <v>0</v>
      </c>
      <c r="L283" s="35">
        <v>0</v>
      </c>
      <c r="M283" s="36">
        <v>0</v>
      </c>
      <c r="N283" s="35">
        <v>0</v>
      </c>
      <c r="O283" s="35">
        <v>0</v>
      </c>
      <c r="P283" s="35">
        <v>0</v>
      </c>
      <c r="Q283" s="36">
        <v>0</v>
      </c>
      <c r="R283" s="35">
        <v>0</v>
      </c>
      <c r="S283" s="35">
        <v>0</v>
      </c>
      <c r="T283" s="36">
        <v>0</v>
      </c>
      <c r="U283" s="35">
        <v>0</v>
      </c>
      <c r="V283" s="36">
        <v>0</v>
      </c>
      <c r="W283" s="36">
        <v>0</v>
      </c>
      <c r="X283" s="35">
        <v>0</v>
      </c>
      <c r="Y283" s="36">
        <v>0</v>
      </c>
      <c r="Z283" s="35">
        <v>0</v>
      </c>
      <c r="AA283" s="36">
        <v>0</v>
      </c>
      <c r="AB283" s="36">
        <v>0</v>
      </c>
      <c r="AC283" s="35">
        <v>0</v>
      </c>
    </row>
    <row r="284" spans="1:29" x14ac:dyDescent="0.3">
      <c r="A284" s="27" t="s">
        <v>382</v>
      </c>
      <c r="B284" s="35">
        <v>0</v>
      </c>
      <c r="C284" s="34">
        <v>10</v>
      </c>
      <c r="D284" s="29">
        <v>29</v>
      </c>
      <c r="E284" s="34">
        <v>100</v>
      </c>
      <c r="F284" s="36">
        <v>0</v>
      </c>
      <c r="G284" s="29">
        <v>40</v>
      </c>
      <c r="H284" s="34">
        <v>40</v>
      </c>
      <c r="I284" s="29">
        <v>50</v>
      </c>
      <c r="J284" s="34">
        <v>180</v>
      </c>
      <c r="K284" s="34">
        <v>17</v>
      </c>
      <c r="L284" s="29">
        <v>60</v>
      </c>
      <c r="M284" s="36">
        <v>0</v>
      </c>
      <c r="N284" s="29">
        <v>25</v>
      </c>
      <c r="O284" s="29">
        <v>17</v>
      </c>
      <c r="P284" s="35">
        <v>0</v>
      </c>
      <c r="Q284" s="34">
        <v>1</v>
      </c>
      <c r="R284" s="35">
        <v>0</v>
      </c>
      <c r="S284" s="35">
        <v>0</v>
      </c>
      <c r="T284" s="34">
        <v>11</v>
      </c>
      <c r="U284" s="35">
        <v>0</v>
      </c>
      <c r="V284" s="36">
        <v>0</v>
      </c>
      <c r="W284" s="34">
        <v>5</v>
      </c>
      <c r="X284" s="35">
        <v>0</v>
      </c>
      <c r="Y284" s="34">
        <v>6</v>
      </c>
      <c r="Z284" s="29">
        <v>13</v>
      </c>
      <c r="AA284" s="36">
        <v>0</v>
      </c>
      <c r="AB284" s="36">
        <v>0</v>
      </c>
      <c r="AC284" s="29">
        <v>7</v>
      </c>
    </row>
    <row r="285" spans="1:29" x14ac:dyDescent="0.3">
      <c r="A285" s="27" t="s">
        <v>383</v>
      </c>
      <c r="B285" s="29">
        <v>11</v>
      </c>
      <c r="C285" s="36">
        <v>0</v>
      </c>
      <c r="D285" s="35">
        <v>0</v>
      </c>
      <c r="E285" s="36">
        <v>0</v>
      </c>
      <c r="F285" s="36">
        <v>0</v>
      </c>
      <c r="G285" s="35">
        <v>0</v>
      </c>
      <c r="H285" s="36">
        <v>0</v>
      </c>
      <c r="I285" s="35">
        <v>0</v>
      </c>
      <c r="J285" s="36">
        <v>0</v>
      </c>
      <c r="K285" s="36">
        <v>0</v>
      </c>
      <c r="L285" s="29">
        <v>60</v>
      </c>
      <c r="M285" s="36">
        <v>0</v>
      </c>
      <c r="N285" s="35">
        <v>0</v>
      </c>
      <c r="O285" s="35">
        <v>0</v>
      </c>
      <c r="P285" s="35">
        <v>0</v>
      </c>
      <c r="Q285" s="36">
        <v>0</v>
      </c>
      <c r="R285" s="35">
        <v>0</v>
      </c>
      <c r="S285" s="35">
        <v>0</v>
      </c>
      <c r="T285" s="36">
        <v>0</v>
      </c>
      <c r="U285" s="35">
        <v>0</v>
      </c>
      <c r="V285" s="36">
        <v>0</v>
      </c>
      <c r="W285" s="36">
        <v>0</v>
      </c>
      <c r="X285" s="35">
        <v>0</v>
      </c>
      <c r="Y285" s="36">
        <v>0</v>
      </c>
      <c r="Z285" s="35">
        <v>0</v>
      </c>
      <c r="AA285" s="36">
        <v>0</v>
      </c>
      <c r="AB285" s="36">
        <v>0</v>
      </c>
      <c r="AC285" s="35">
        <v>0</v>
      </c>
    </row>
    <row r="286" spans="1:29" x14ac:dyDescent="0.3">
      <c r="A286" s="21" t="s">
        <v>384</v>
      </c>
      <c r="B286" s="35">
        <v>0</v>
      </c>
      <c r="C286" s="36">
        <v>0</v>
      </c>
      <c r="D286" s="35">
        <v>0</v>
      </c>
      <c r="E286" s="36">
        <v>0</v>
      </c>
      <c r="F286" s="36">
        <v>0</v>
      </c>
      <c r="G286" s="35">
        <v>0</v>
      </c>
      <c r="H286" s="36">
        <v>0</v>
      </c>
      <c r="I286" s="35">
        <v>0</v>
      </c>
      <c r="J286" s="36">
        <v>0</v>
      </c>
      <c r="K286" s="36">
        <v>0</v>
      </c>
      <c r="L286" s="35">
        <v>0</v>
      </c>
      <c r="M286" s="36">
        <v>0</v>
      </c>
      <c r="N286" s="35">
        <v>0</v>
      </c>
      <c r="O286" s="35">
        <v>0</v>
      </c>
      <c r="P286" s="35">
        <v>0</v>
      </c>
      <c r="Q286" s="36">
        <v>0</v>
      </c>
      <c r="R286" s="35">
        <v>0</v>
      </c>
      <c r="S286" s="35">
        <v>0</v>
      </c>
      <c r="T286" s="36">
        <v>0</v>
      </c>
      <c r="U286" s="35">
        <v>0</v>
      </c>
      <c r="V286" s="36">
        <v>0</v>
      </c>
      <c r="W286" s="36">
        <v>0</v>
      </c>
      <c r="X286" s="35">
        <v>0</v>
      </c>
      <c r="Y286" s="36">
        <v>0</v>
      </c>
      <c r="Z286" s="35">
        <v>0</v>
      </c>
      <c r="AA286" s="36">
        <v>0</v>
      </c>
      <c r="AB286" s="36">
        <v>0</v>
      </c>
      <c r="AC286" s="35">
        <v>0</v>
      </c>
    </row>
    <row r="287" spans="1:29" x14ac:dyDescent="0.3">
      <c r="A287" s="27" t="s">
        <v>385</v>
      </c>
      <c r="B287" s="35">
        <v>0</v>
      </c>
      <c r="C287" s="36">
        <v>0</v>
      </c>
      <c r="D287" s="29">
        <v>14</v>
      </c>
      <c r="E287" s="36">
        <v>0</v>
      </c>
      <c r="F287" s="34">
        <v>40</v>
      </c>
      <c r="G287" s="35">
        <v>0</v>
      </c>
      <c r="H287" s="34">
        <v>40</v>
      </c>
      <c r="I287" s="29">
        <v>20</v>
      </c>
      <c r="J287" s="34">
        <v>40</v>
      </c>
      <c r="K287" s="36">
        <v>0</v>
      </c>
      <c r="L287" s="35">
        <v>0</v>
      </c>
      <c r="M287" s="34">
        <v>20</v>
      </c>
      <c r="N287" s="29">
        <v>188</v>
      </c>
      <c r="O287" s="29">
        <v>17</v>
      </c>
      <c r="P287" s="29">
        <v>14</v>
      </c>
      <c r="Q287" s="36">
        <v>0</v>
      </c>
      <c r="R287" s="35">
        <v>0</v>
      </c>
      <c r="S287" s="29">
        <v>7</v>
      </c>
      <c r="T287" s="36">
        <v>0</v>
      </c>
      <c r="U287" s="29">
        <v>27</v>
      </c>
      <c r="V287" s="34">
        <v>15</v>
      </c>
      <c r="W287" s="34">
        <v>25</v>
      </c>
      <c r="X287" s="29">
        <v>6</v>
      </c>
      <c r="Y287" s="36">
        <v>0</v>
      </c>
      <c r="Z287" s="29">
        <v>6</v>
      </c>
      <c r="AA287" s="36">
        <v>0</v>
      </c>
      <c r="AB287" s="34">
        <v>15</v>
      </c>
      <c r="AC287" s="35">
        <v>0</v>
      </c>
    </row>
    <row r="288" spans="1:29" x14ac:dyDescent="0.3">
      <c r="A288" s="21" t="s">
        <v>386</v>
      </c>
      <c r="B288" s="35">
        <v>0</v>
      </c>
      <c r="C288" s="36">
        <v>0</v>
      </c>
      <c r="D288" s="35">
        <v>0</v>
      </c>
      <c r="E288" s="36">
        <v>0</v>
      </c>
      <c r="F288" s="36">
        <v>0</v>
      </c>
      <c r="G288" s="35">
        <v>0</v>
      </c>
      <c r="H288" s="36">
        <v>0</v>
      </c>
      <c r="I288" s="35">
        <v>0</v>
      </c>
      <c r="J288" s="36">
        <v>0</v>
      </c>
      <c r="K288" s="36">
        <v>0</v>
      </c>
      <c r="L288" s="35">
        <v>0</v>
      </c>
      <c r="M288" s="36">
        <v>0</v>
      </c>
      <c r="N288" s="35">
        <v>0</v>
      </c>
      <c r="O288" s="35">
        <v>0</v>
      </c>
      <c r="P288" s="35">
        <v>0</v>
      </c>
      <c r="Q288" s="36">
        <v>0</v>
      </c>
      <c r="R288" s="35">
        <v>0</v>
      </c>
      <c r="S288" s="35">
        <v>0</v>
      </c>
      <c r="T288" s="36">
        <v>0</v>
      </c>
      <c r="U288" s="35">
        <v>0</v>
      </c>
      <c r="V288" s="36">
        <v>0</v>
      </c>
      <c r="W288" s="36">
        <v>0</v>
      </c>
      <c r="X288" s="35">
        <v>0</v>
      </c>
      <c r="Y288" s="36">
        <v>0</v>
      </c>
      <c r="Z288" s="35">
        <v>0</v>
      </c>
      <c r="AA288" s="36">
        <v>0</v>
      </c>
      <c r="AB288" s="36">
        <v>0</v>
      </c>
      <c r="AC288" s="35">
        <v>0</v>
      </c>
    </row>
    <row r="289" spans="1:29" x14ac:dyDescent="0.3">
      <c r="A289" s="27" t="s">
        <v>387</v>
      </c>
      <c r="B289" s="35">
        <v>0</v>
      </c>
      <c r="C289" s="36">
        <v>0</v>
      </c>
      <c r="D289" s="35">
        <v>0</v>
      </c>
      <c r="E289" s="36">
        <v>0</v>
      </c>
      <c r="F289" s="36">
        <v>0</v>
      </c>
      <c r="G289" s="35">
        <v>0</v>
      </c>
      <c r="H289" s="36">
        <v>0</v>
      </c>
      <c r="I289" s="35">
        <v>0</v>
      </c>
      <c r="J289" s="36">
        <v>0</v>
      </c>
      <c r="K289" s="36">
        <v>0</v>
      </c>
      <c r="L289" s="35">
        <v>0</v>
      </c>
      <c r="M289" s="36">
        <v>0</v>
      </c>
      <c r="N289" s="35">
        <v>0</v>
      </c>
      <c r="O289" s="35">
        <v>0</v>
      </c>
      <c r="P289" s="35">
        <v>0</v>
      </c>
      <c r="Q289" s="36">
        <v>0</v>
      </c>
      <c r="R289" s="35">
        <v>0</v>
      </c>
      <c r="S289" s="35">
        <v>0</v>
      </c>
      <c r="T289" s="36">
        <v>0</v>
      </c>
      <c r="U289" s="35">
        <v>0</v>
      </c>
      <c r="V289" s="36">
        <v>0</v>
      </c>
      <c r="W289" s="36">
        <v>0</v>
      </c>
      <c r="X289" s="35">
        <v>0</v>
      </c>
      <c r="Y289" s="36">
        <v>0</v>
      </c>
      <c r="Z289" s="35">
        <v>0</v>
      </c>
      <c r="AA289" s="36">
        <v>0</v>
      </c>
      <c r="AB289" s="36">
        <v>0</v>
      </c>
      <c r="AC289" s="35">
        <v>0</v>
      </c>
    </row>
    <row r="290" spans="1:29" x14ac:dyDescent="0.3">
      <c r="A290" s="21" t="s">
        <v>388</v>
      </c>
      <c r="B290" s="35">
        <v>0</v>
      </c>
      <c r="C290" s="36">
        <v>0</v>
      </c>
      <c r="D290" s="35">
        <v>0</v>
      </c>
      <c r="E290" s="36">
        <v>0</v>
      </c>
      <c r="F290" s="36">
        <v>0</v>
      </c>
      <c r="G290" s="35">
        <v>0</v>
      </c>
      <c r="H290" s="36">
        <v>0</v>
      </c>
      <c r="I290" s="35">
        <v>0</v>
      </c>
      <c r="J290" s="36">
        <v>0</v>
      </c>
      <c r="K290" s="36">
        <v>0</v>
      </c>
      <c r="L290" s="35">
        <v>0</v>
      </c>
      <c r="M290" s="36">
        <v>0</v>
      </c>
      <c r="N290" s="35">
        <v>0</v>
      </c>
      <c r="O290" s="35">
        <v>0</v>
      </c>
      <c r="P290" s="35">
        <v>0</v>
      </c>
      <c r="Q290" s="36">
        <v>0</v>
      </c>
      <c r="R290" s="35">
        <v>0</v>
      </c>
      <c r="S290" s="35">
        <v>0</v>
      </c>
      <c r="T290" s="36">
        <v>0</v>
      </c>
      <c r="U290" s="35">
        <v>0</v>
      </c>
      <c r="V290" s="36">
        <v>0</v>
      </c>
      <c r="W290" s="36">
        <v>0</v>
      </c>
      <c r="X290" s="35">
        <v>0</v>
      </c>
      <c r="Y290" s="36">
        <v>0</v>
      </c>
      <c r="Z290" s="35">
        <v>0</v>
      </c>
      <c r="AA290" s="36">
        <v>0</v>
      </c>
      <c r="AB290" s="36">
        <v>0</v>
      </c>
      <c r="AC290" s="35">
        <v>0</v>
      </c>
    </row>
    <row r="291" spans="1:29" x14ac:dyDescent="0.3">
      <c r="A291" s="27" t="s">
        <v>389</v>
      </c>
      <c r="B291" s="35">
        <v>0</v>
      </c>
      <c r="C291" s="36">
        <v>0</v>
      </c>
      <c r="D291" s="35">
        <v>0</v>
      </c>
      <c r="E291" s="36">
        <v>0</v>
      </c>
      <c r="F291" s="36">
        <v>0</v>
      </c>
      <c r="G291" s="35">
        <v>0</v>
      </c>
      <c r="H291" s="36">
        <v>0</v>
      </c>
      <c r="I291" s="35">
        <v>0</v>
      </c>
      <c r="J291" s="36">
        <v>0</v>
      </c>
      <c r="K291" s="36">
        <v>0</v>
      </c>
      <c r="L291" s="35">
        <v>0</v>
      </c>
      <c r="M291" s="36">
        <v>0</v>
      </c>
      <c r="N291" s="35">
        <v>0</v>
      </c>
      <c r="O291" s="35">
        <v>0</v>
      </c>
      <c r="P291" s="35">
        <v>0</v>
      </c>
      <c r="Q291" s="36">
        <v>0</v>
      </c>
      <c r="R291" s="35">
        <v>0</v>
      </c>
      <c r="S291" s="35">
        <v>0</v>
      </c>
      <c r="T291" s="36">
        <v>0</v>
      </c>
      <c r="U291" s="35">
        <v>0</v>
      </c>
      <c r="V291" s="36">
        <v>0</v>
      </c>
      <c r="W291" s="36">
        <v>0</v>
      </c>
      <c r="X291" s="35">
        <v>0</v>
      </c>
      <c r="Y291" s="36">
        <v>0</v>
      </c>
      <c r="Z291" s="35">
        <v>0</v>
      </c>
      <c r="AA291" s="36">
        <v>0</v>
      </c>
      <c r="AB291" s="36">
        <v>0</v>
      </c>
      <c r="AC291" s="35">
        <v>0</v>
      </c>
    </row>
    <row r="292" spans="1:29" x14ac:dyDescent="0.3">
      <c r="A292" s="21" t="s">
        <v>390</v>
      </c>
      <c r="B292" s="35">
        <v>0</v>
      </c>
      <c r="C292" s="36">
        <v>0</v>
      </c>
      <c r="D292" s="35">
        <v>0</v>
      </c>
      <c r="E292" s="36">
        <v>0</v>
      </c>
      <c r="F292" s="36">
        <v>0</v>
      </c>
      <c r="G292" s="35">
        <v>0</v>
      </c>
      <c r="H292" s="36">
        <v>0</v>
      </c>
      <c r="I292" s="35">
        <v>0</v>
      </c>
      <c r="J292" s="36">
        <v>0</v>
      </c>
      <c r="K292" s="36">
        <v>0</v>
      </c>
      <c r="L292" s="35">
        <v>0</v>
      </c>
      <c r="M292" s="36">
        <v>0</v>
      </c>
      <c r="N292" s="35">
        <v>0</v>
      </c>
      <c r="O292" s="35">
        <v>0</v>
      </c>
      <c r="P292" s="35">
        <v>0</v>
      </c>
      <c r="Q292" s="36">
        <v>0</v>
      </c>
      <c r="R292" s="35">
        <v>0</v>
      </c>
      <c r="S292" s="35">
        <v>0</v>
      </c>
      <c r="T292" s="36">
        <v>0</v>
      </c>
      <c r="U292" s="35">
        <v>0</v>
      </c>
      <c r="V292" s="36">
        <v>0</v>
      </c>
      <c r="W292" s="36">
        <v>0</v>
      </c>
      <c r="X292" s="35">
        <v>0</v>
      </c>
      <c r="Y292" s="36">
        <v>0</v>
      </c>
      <c r="Z292" s="35">
        <v>0</v>
      </c>
      <c r="AA292" s="36">
        <v>0</v>
      </c>
      <c r="AB292" s="36">
        <v>0</v>
      </c>
      <c r="AC292" s="35">
        <v>0</v>
      </c>
    </row>
    <row r="293" spans="1:29" x14ac:dyDescent="0.3">
      <c r="A293" s="27" t="s">
        <v>391</v>
      </c>
      <c r="B293" s="35">
        <v>0</v>
      </c>
      <c r="C293" s="36">
        <v>0</v>
      </c>
      <c r="D293" s="35">
        <v>0</v>
      </c>
      <c r="E293" s="34">
        <v>171</v>
      </c>
      <c r="F293" s="34">
        <v>120</v>
      </c>
      <c r="G293" s="29">
        <v>40</v>
      </c>
      <c r="H293" s="34">
        <v>40</v>
      </c>
      <c r="I293" s="29">
        <v>10</v>
      </c>
      <c r="J293" s="34">
        <v>60</v>
      </c>
      <c r="K293" s="34">
        <v>50</v>
      </c>
      <c r="L293" s="35">
        <v>0</v>
      </c>
      <c r="M293" s="34">
        <v>20</v>
      </c>
      <c r="N293" s="29">
        <v>13</v>
      </c>
      <c r="O293" s="29">
        <v>17</v>
      </c>
      <c r="P293" s="35">
        <v>0</v>
      </c>
      <c r="Q293" s="36">
        <v>0</v>
      </c>
      <c r="R293" s="35">
        <v>0</v>
      </c>
      <c r="S293" s="29">
        <v>4</v>
      </c>
      <c r="T293" s="34">
        <v>121</v>
      </c>
      <c r="U293" s="29">
        <v>45</v>
      </c>
      <c r="V293" s="34">
        <v>46</v>
      </c>
      <c r="W293" s="36">
        <v>0</v>
      </c>
      <c r="X293" s="35">
        <v>0</v>
      </c>
      <c r="Y293" s="34">
        <v>76</v>
      </c>
      <c r="Z293" s="29">
        <v>38</v>
      </c>
      <c r="AA293" s="36">
        <v>0</v>
      </c>
      <c r="AB293" s="34">
        <v>65</v>
      </c>
      <c r="AC293" s="29">
        <v>50</v>
      </c>
    </row>
    <row r="294" spans="1:29" x14ac:dyDescent="0.3">
      <c r="A294" s="27" t="s">
        <v>392</v>
      </c>
      <c r="B294" s="35">
        <v>0</v>
      </c>
      <c r="C294" s="36">
        <v>0</v>
      </c>
      <c r="D294" s="29">
        <v>14</v>
      </c>
      <c r="E294" s="36">
        <v>0</v>
      </c>
      <c r="F294" s="36">
        <v>0</v>
      </c>
      <c r="G294" s="35">
        <v>0</v>
      </c>
      <c r="H294" s="34">
        <v>20</v>
      </c>
      <c r="I294" s="29">
        <v>10</v>
      </c>
      <c r="J294" s="36">
        <v>0</v>
      </c>
      <c r="K294" s="34">
        <v>17</v>
      </c>
      <c r="L294" s="35">
        <v>0</v>
      </c>
      <c r="M294" s="36">
        <v>0</v>
      </c>
      <c r="N294" s="35">
        <v>0</v>
      </c>
      <c r="O294" s="35">
        <v>0</v>
      </c>
      <c r="P294" s="35">
        <v>0</v>
      </c>
      <c r="Q294" s="36">
        <v>0</v>
      </c>
      <c r="R294" s="35">
        <v>0</v>
      </c>
      <c r="S294" s="35">
        <v>0</v>
      </c>
      <c r="T294" s="36">
        <v>0</v>
      </c>
      <c r="U294" s="29">
        <v>9</v>
      </c>
      <c r="V294" s="34">
        <v>4</v>
      </c>
      <c r="W294" s="36">
        <v>0</v>
      </c>
      <c r="X294" s="35">
        <v>0</v>
      </c>
      <c r="Y294" s="36">
        <v>0</v>
      </c>
      <c r="Z294" s="35">
        <v>0</v>
      </c>
      <c r="AA294" s="36">
        <v>0</v>
      </c>
      <c r="AB294" s="36">
        <v>0</v>
      </c>
      <c r="AC294" s="29">
        <v>7</v>
      </c>
    </row>
    <row r="295" spans="1:29" x14ac:dyDescent="0.3">
      <c r="A295" s="21" t="s">
        <v>393</v>
      </c>
      <c r="B295" s="35">
        <v>0</v>
      </c>
      <c r="C295" s="36">
        <v>0</v>
      </c>
      <c r="D295" s="35">
        <v>0</v>
      </c>
      <c r="E295" s="36">
        <v>0</v>
      </c>
      <c r="F295" s="36">
        <v>0</v>
      </c>
      <c r="G295" s="35">
        <v>0</v>
      </c>
      <c r="H295" s="36">
        <v>0</v>
      </c>
      <c r="I295" s="35">
        <v>0</v>
      </c>
      <c r="J295" s="36">
        <v>0</v>
      </c>
      <c r="K295" s="36">
        <v>0</v>
      </c>
      <c r="L295" s="35">
        <v>0</v>
      </c>
      <c r="M295" s="36">
        <v>0</v>
      </c>
      <c r="N295" s="35">
        <v>0</v>
      </c>
      <c r="O295" s="35">
        <v>0</v>
      </c>
      <c r="P295" s="35">
        <v>0</v>
      </c>
      <c r="Q295" s="36">
        <v>0</v>
      </c>
      <c r="R295" s="35">
        <v>0</v>
      </c>
      <c r="S295" s="35">
        <v>0</v>
      </c>
      <c r="T295" s="36">
        <v>0</v>
      </c>
      <c r="U295" s="35">
        <v>0</v>
      </c>
      <c r="V295" s="36">
        <v>0</v>
      </c>
      <c r="W295" s="36">
        <v>0</v>
      </c>
      <c r="X295" s="35">
        <v>0</v>
      </c>
      <c r="Y295" s="36">
        <v>0</v>
      </c>
      <c r="Z295" s="35">
        <v>0</v>
      </c>
      <c r="AA295" s="36">
        <v>0</v>
      </c>
      <c r="AB295" s="36">
        <v>0</v>
      </c>
      <c r="AC295" s="35">
        <v>0</v>
      </c>
    </row>
    <row r="296" spans="1:29" x14ac:dyDescent="0.3">
      <c r="A296" s="27" t="s">
        <v>394</v>
      </c>
      <c r="B296" s="35">
        <v>0</v>
      </c>
      <c r="C296" s="36">
        <v>0</v>
      </c>
      <c r="D296" s="35">
        <v>0</v>
      </c>
      <c r="E296" s="36">
        <v>0</v>
      </c>
      <c r="F296" s="36">
        <v>0</v>
      </c>
      <c r="G296" s="35">
        <v>0</v>
      </c>
      <c r="H296" s="36">
        <v>0</v>
      </c>
      <c r="I296" s="35">
        <v>0</v>
      </c>
      <c r="J296" s="36">
        <v>0</v>
      </c>
      <c r="K296" s="36">
        <v>0</v>
      </c>
      <c r="L296" s="35">
        <v>0</v>
      </c>
      <c r="M296" s="36">
        <v>0</v>
      </c>
      <c r="N296" s="35">
        <v>0</v>
      </c>
      <c r="O296" s="35">
        <v>0</v>
      </c>
      <c r="P296" s="35">
        <v>0</v>
      </c>
      <c r="Q296" s="36">
        <v>0</v>
      </c>
      <c r="R296" s="35">
        <v>0</v>
      </c>
      <c r="S296" s="35">
        <v>0</v>
      </c>
      <c r="T296" s="34">
        <v>5</v>
      </c>
      <c r="U296" s="35">
        <v>0</v>
      </c>
      <c r="V296" s="34">
        <v>4</v>
      </c>
      <c r="W296" s="36">
        <v>0</v>
      </c>
      <c r="X296" s="29">
        <v>6</v>
      </c>
      <c r="Y296" s="36">
        <v>0</v>
      </c>
      <c r="Z296" s="35">
        <v>0</v>
      </c>
      <c r="AA296" s="36">
        <v>0</v>
      </c>
      <c r="AB296" s="36">
        <v>0</v>
      </c>
      <c r="AC296" s="35">
        <v>0</v>
      </c>
    </row>
    <row r="297" spans="1:29" x14ac:dyDescent="0.3">
      <c r="A297" s="27" t="s">
        <v>395</v>
      </c>
      <c r="B297" s="29">
        <v>156</v>
      </c>
      <c r="C297" s="34">
        <v>50</v>
      </c>
      <c r="D297" s="29">
        <v>114</v>
      </c>
      <c r="E297" s="34">
        <v>200</v>
      </c>
      <c r="F297" s="34">
        <v>240</v>
      </c>
      <c r="G297" s="29">
        <v>260</v>
      </c>
      <c r="H297" s="34">
        <v>480</v>
      </c>
      <c r="I297" s="29">
        <v>130</v>
      </c>
      <c r="J297" s="34">
        <v>400</v>
      </c>
      <c r="K297" s="34">
        <v>183</v>
      </c>
      <c r="L297" s="29">
        <v>160</v>
      </c>
      <c r="M297" s="36">
        <v>0</v>
      </c>
      <c r="N297" s="29">
        <v>125</v>
      </c>
      <c r="O297" s="29">
        <v>83</v>
      </c>
      <c r="P297" s="29">
        <v>55</v>
      </c>
      <c r="Q297" s="34">
        <v>2</v>
      </c>
      <c r="R297" s="29">
        <v>1</v>
      </c>
      <c r="S297" s="29">
        <v>52</v>
      </c>
      <c r="T297" s="34">
        <v>126</v>
      </c>
      <c r="U297" s="29">
        <v>118</v>
      </c>
      <c r="V297" s="34">
        <v>58</v>
      </c>
      <c r="W297" s="34">
        <v>65</v>
      </c>
      <c r="X297" s="29">
        <v>31</v>
      </c>
      <c r="Y297" s="34">
        <v>76</v>
      </c>
      <c r="Z297" s="29">
        <v>144</v>
      </c>
      <c r="AA297" s="36">
        <v>0</v>
      </c>
      <c r="AB297" s="34">
        <v>90</v>
      </c>
      <c r="AC297" s="29">
        <v>150</v>
      </c>
    </row>
    <row r="298" spans="1:29" x14ac:dyDescent="0.3">
      <c r="A298" s="21" t="s">
        <v>119</v>
      </c>
      <c r="B298" s="35">
        <v>0</v>
      </c>
      <c r="C298" s="36">
        <v>0</v>
      </c>
      <c r="D298" s="35">
        <v>0</v>
      </c>
      <c r="E298" s="36">
        <v>0</v>
      </c>
      <c r="F298" s="36">
        <v>0</v>
      </c>
      <c r="G298" s="35">
        <v>0</v>
      </c>
      <c r="H298" s="36">
        <v>0</v>
      </c>
      <c r="I298" s="35">
        <v>0</v>
      </c>
      <c r="J298" s="36">
        <v>0</v>
      </c>
      <c r="K298" s="36">
        <v>0</v>
      </c>
      <c r="L298" s="35">
        <v>0</v>
      </c>
      <c r="M298" s="36">
        <v>0</v>
      </c>
      <c r="N298" s="35">
        <v>0</v>
      </c>
      <c r="O298" s="35">
        <v>0</v>
      </c>
      <c r="P298" s="35">
        <v>0</v>
      </c>
      <c r="Q298" s="36">
        <v>0</v>
      </c>
      <c r="R298" s="35">
        <v>0</v>
      </c>
      <c r="S298" s="35">
        <v>0</v>
      </c>
      <c r="T298" s="36">
        <v>0</v>
      </c>
      <c r="U298" s="35">
        <v>0</v>
      </c>
      <c r="V298" s="36">
        <v>0</v>
      </c>
      <c r="W298" s="36">
        <v>0</v>
      </c>
      <c r="X298" s="35">
        <v>0</v>
      </c>
      <c r="Y298" s="36">
        <v>0</v>
      </c>
      <c r="Z298" s="35">
        <v>0</v>
      </c>
      <c r="AA298" s="36">
        <v>0</v>
      </c>
      <c r="AB298" s="36">
        <v>0</v>
      </c>
      <c r="AC298" s="35">
        <v>0</v>
      </c>
    </row>
    <row r="299" spans="1:29" x14ac:dyDescent="0.3">
      <c r="A299" s="21" t="s">
        <v>396</v>
      </c>
      <c r="B299" s="35">
        <v>0</v>
      </c>
      <c r="C299" s="36">
        <v>0</v>
      </c>
      <c r="D299" s="35">
        <v>0</v>
      </c>
      <c r="E299" s="36">
        <v>0</v>
      </c>
      <c r="F299" s="36">
        <v>0</v>
      </c>
      <c r="G299" s="35">
        <v>0</v>
      </c>
      <c r="H299" s="36">
        <v>0</v>
      </c>
      <c r="I299" s="35">
        <v>0</v>
      </c>
      <c r="J299" s="36">
        <v>0</v>
      </c>
      <c r="K299" s="36">
        <v>0</v>
      </c>
      <c r="L299" s="35">
        <v>0</v>
      </c>
      <c r="M299" s="36">
        <v>0</v>
      </c>
      <c r="N299" s="35">
        <v>0</v>
      </c>
      <c r="O299" s="35">
        <v>0</v>
      </c>
      <c r="P299" s="35">
        <v>0</v>
      </c>
      <c r="Q299" s="36">
        <v>0</v>
      </c>
      <c r="R299" s="35">
        <v>0</v>
      </c>
      <c r="S299" s="35">
        <v>0</v>
      </c>
      <c r="T299" s="36">
        <v>0</v>
      </c>
      <c r="U299" s="35">
        <v>0</v>
      </c>
      <c r="V299" s="36">
        <v>0</v>
      </c>
      <c r="W299" s="36">
        <v>0</v>
      </c>
      <c r="X299" s="35">
        <v>0</v>
      </c>
      <c r="Y299" s="36">
        <v>0</v>
      </c>
      <c r="Z299" s="35">
        <v>0</v>
      </c>
      <c r="AA299" s="36">
        <v>0</v>
      </c>
      <c r="AB299" s="36">
        <v>0</v>
      </c>
      <c r="AC299" s="35">
        <v>0</v>
      </c>
    </row>
    <row r="300" spans="1:29" x14ac:dyDescent="0.3">
      <c r="A300" s="21" t="s">
        <v>397</v>
      </c>
      <c r="B300" s="35">
        <v>0</v>
      </c>
      <c r="C300" s="36">
        <v>0</v>
      </c>
      <c r="D300" s="35">
        <v>0</v>
      </c>
      <c r="E300" s="34">
        <v>14</v>
      </c>
      <c r="F300" s="36">
        <v>0</v>
      </c>
      <c r="G300" s="35">
        <v>0</v>
      </c>
      <c r="H300" s="34">
        <v>20</v>
      </c>
      <c r="I300" s="35">
        <v>0</v>
      </c>
      <c r="J300" s="34">
        <v>120</v>
      </c>
      <c r="K300" s="36">
        <v>0</v>
      </c>
      <c r="L300" s="35">
        <v>0</v>
      </c>
      <c r="M300" s="36">
        <v>0</v>
      </c>
      <c r="N300" s="29">
        <v>13</v>
      </c>
      <c r="O300" s="35">
        <v>0</v>
      </c>
      <c r="P300" s="35">
        <v>0</v>
      </c>
      <c r="Q300" s="36">
        <v>0</v>
      </c>
      <c r="R300" s="29">
        <v>2</v>
      </c>
      <c r="S300" s="29">
        <v>4</v>
      </c>
      <c r="T300" s="34">
        <v>5</v>
      </c>
      <c r="U300" s="35">
        <v>0</v>
      </c>
      <c r="V300" s="36">
        <v>0</v>
      </c>
      <c r="W300" s="36">
        <v>0</v>
      </c>
      <c r="X300" s="35">
        <v>0</v>
      </c>
      <c r="Y300" s="36">
        <v>0</v>
      </c>
      <c r="Z300" s="35">
        <v>0</v>
      </c>
      <c r="AA300" s="36">
        <v>0</v>
      </c>
      <c r="AB300" s="36">
        <v>0</v>
      </c>
      <c r="AC300" s="35">
        <v>0</v>
      </c>
    </row>
    <row r="301" spans="1:29" x14ac:dyDescent="0.3">
      <c r="A301" s="21" t="s">
        <v>119</v>
      </c>
      <c r="B301" s="35">
        <v>0</v>
      </c>
      <c r="C301" s="36">
        <v>0</v>
      </c>
      <c r="D301" s="35">
        <v>0</v>
      </c>
      <c r="E301" s="36">
        <v>0</v>
      </c>
      <c r="F301" s="36">
        <v>0</v>
      </c>
      <c r="G301" s="35">
        <v>0</v>
      </c>
      <c r="H301" s="36">
        <v>0</v>
      </c>
      <c r="I301" s="35">
        <v>0</v>
      </c>
      <c r="J301" s="36">
        <v>0</v>
      </c>
      <c r="K301" s="36">
        <v>0</v>
      </c>
      <c r="L301" s="35">
        <v>0</v>
      </c>
      <c r="M301" s="36">
        <v>0</v>
      </c>
      <c r="N301" s="35">
        <v>0</v>
      </c>
      <c r="O301" s="35">
        <v>0</v>
      </c>
      <c r="P301" s="35">
        <v>0</v>
      </c>
      <c r="Q301" s="36">
        <v>0</v>
      </c>
      <c r="R301" s="35">
        <v>0</v>
      </c>
      <c r="S301" s="35">
        <v>0</v>
      </c>
      <c r="T301" s="36">
        <v>0</v>
      </c>
      <c r="U301" s="35">
        <v>0</v>
      </c>
      <c r="V301" s="36">
        <v>0</v>
      </c>
      <c r="W301" s="36">
        <v>0</v>
      </c>
      <c r="X301" s="35">
        <v>0</v>
      </c>
      <c r="Y301" s="36">
        <v>0</v>
      </c>
      <c r="Z301" s="35">
        <v>0</v>
      </c>
      <c r="AA301" s="36">
        <v>0</v>
      </c>
      <c r="AB301" s="36">
        <v>0</v>
      </c>
      <c r="AC301" s="35">
        <v>0</v>
      </c>
    </row>
    <row r="302" spans="1:29" x14ac:dyDescent="0.3">
      <c r="A302" s="21" t="s">
        <v>398</v>
      </c>
      <c r="B302" s="35">
        <v>0</v>
      </c>
      <c r="C302" s="36">
        <v>0</v>
      </c>
      <c r="D302" s="35">
        <v>0</v>
      </c>
      <c r="E302" s="36">
        <v>0</v>
      </c>
      <c r="F302" s="36">
        <v>0</v>
      </c>
      <c r="G302" s="35">
        <v>0</v>
      </c>
      <c r="H302" s="36">
        <v>0</v>
      </c>
      <c r="I302" s="35">
        <v>0</v>
      </c>
      <c r="J302" s="36">
        <v>0</v>
      </c>
      <c r="K302" s="36">
        <v>0</v>
      </c>
      <c r="L302" s="35">
        <v>0</v>
      </c>
      <c r="M302" s="36">
        <v>0</v>
      </c>
      <c r="N302" s="35">
        <v>0</v>
      </c>
      <c r="O302" s="35">
        <v>0</v>
      </c>
      <c r="P302" s="35">
        <v>0</v>
      </c>
      <c r="Q302" s="36">
        <v>0</v>
      </c>
      <c r="R302" s="35">
        <v>0</v>
      </c>
      <c r="S302" s="35">
        <v>0</v>
      </c>
      <c r="T302" s="36">
        <v>0</v>
      </c>
      <c r="U302" s="35">
        <v>0</v>
      </c>
      <c r="V302" s="36">
        <v>0</v>
      </c>
      <c r="W302" s="36">
        <v>0</v>
      </c>
      <c r="X302" s="35">
        <v>0</v>
      </c>
      <c r="Y302" s="36">
        <v>0</v>
      </c>
      <c r="Z302" s="35">
        <v>0</v>
      </c>
      <c r="AA302" s="36">
        <v>0</v>
      </c>
      <c r="AB302" s="36">
        <v>0</v>
      </c>
      <c r="AC302" s="35">
        <v>0</v>
      </c>
    </row>
    <row r="303" spans="1:29" x14ac:dyDescent="0.3">
      <c r="A303" s="21" t="s">
        <v>399</v>
      </c>
      <c r="B303" s="35">
        <v>0</v>
      </c>
      <c r="C303" s="36">
        <v>0</v>
      </c>
      <c r="D303" s="35">
        <v>0</v>
      </c>
      <c r="E303" s="36">
        <v>0</v>
      </c>
      <c r="F303" s="36">
        <v>0</v>
      </c>
      <c r="G303" s="35">
        <v>0</v>
      </c>
      <c r="H303" s="36">
        <v>0</v>
      </c>
      <c r="I303" s="35">
        <v>0</v>
      </c>
      <c r="J303" s="36">
        <v>0</v>
      </c>
      <c r="K303" s="36">
        <v>0</v>
      </c>
      <c r="L303" s="35">
        <v>0</v>
      </c>
      <c r="M303" s="36">
        <v>0</v>
      </c>
      <c r="N303" s="35">
        <v>0</v>
      </c>
      <c r="O303" s="35">
        <v>0</v>
      </c>
      <c r="P303" s="35">
        <v>0</v>
      </c>
      <c r="Q303" s="36">
        <v>0</v>
      </c>
      <c r="R303" s="35">
        <v>0</v>
      </c>
      <c r="S303" s="35">
        <v>0</v>
      </c>
      <c r="T303" s="36">
        <v>0</v>
      </c>
      <c r="U303" s="35">
        <v>0</v>
      </c>
      <c r="V303" s="36">
        <v>0</v>
      </c>
      <c r="W303" s="36">
        <v>0</v>
      </c>
      <c r="X303" s="35">
        <v>0</v>
      </c>
      <c r="Y303" s="36">
        <v>0</v>
      </c>
      <c r="Z303" s="35">
        <v>0</v>
      </c>
      <c r="AA303" s="36">
        <v>0</v>
      </c>
      <c r="AB303" s="36">
        <v>0</v>
      </c>
      <c r="AC303" s="35">
        <v>0</v>
      </c>
    </row>
    <row r="304" spans="1:29" x14ac:dyDescent="0.3">
      <c r="A304" s="21" t="s">
        <v>400</v>
      </c>
      <c r="B304" s="35">
        <v>0</v>
      </c>
      <c r="C304" s="36">
        <v>0</v>
      </c>
      <c r="D304" s="35">
        <v>0</v>
      </c>
      <c r="E304" s="36">
        <v>0</v>
      </c>
      <c r="F304" s="36">
        <v>0</v>
      </c>
      <c r="G304" s="35">
        <v>0</v>
      </c>
      <c r="H304" s="36">
        <v>0</v>
      </c>
      <c r="I304" s="35">
        <v>0</v>
      </c>
      <c r="J304" s="36">
        <v>0</v>
      </c>
      <c r="K304" s="36">
        <v>0</v>
      </c>
      <c r="L304" s="35">
        <v>0</v>
      </c>
      <c r="M304" s="36">
        <v>0</v>
      </c>
      <c r="N304" s="35">
        <v>0</v>
      </c>
      <c r="O304" s="35">
        <v>0</v>
      </c>
      <c r="P304" s="35">
        <v>0</v>
      </c>
      <c r="Q304" s="36">
        <v>0</v>
      </c>
      <c r="R304" s="35">
        <v>0</v>
      </c>
      <c r="S304" s="35">
        <v>0</v>
      </c>
      <c r="T304" s="36">
        <v>0</v>
      </c>
      <c r="U304" s="35">
        <v>0</v>
      </c>
      <c r="V304" s="36">
        <v>0</v>
      </c>
      <c r="W304" s="36">
        <v>0</v>
      </c>
      <c r="X304" s="35">
        <v>0</v>
      </c>
      <c r="Y304" s="36">
        <v>0</v>
      </c>
      <c r="Z304" s="35">
        <v>0</v>
      </c>
      <c r="AA304" s="36">
        <v>0</v>
      </c>
      <c r="AB304" s="36">
        <v>0</v>
      </c>
      <c r="AC304" s="35">
        <v>0</v>
      </c>
    </row>
    <row r="305" spans="1:29" x14ac:dyDescent="0.3">
      <c r="A305" s="21" t="s">
        <v>401</v>
      </c>
      <c r="B305" s="35">
        <v>0</v>
      </c>
      <c r="C305" s="36">
        <v>0</v>
      </c>
      <c r="D305" s="29">
        <v>86</v>
      </c>
      <c r="E305" s="34">
        <v>43</v>
      </c>
      <c r="F305" s="34">
        <v>60</v>
      </c>
      <c r="G305" s="35">
        <v>0</v>
      </c>
      <c r="H305" s="36">
        <v>0</v>
      </c>
      <c r="I305" s="29">
        <v>60</v>
      </c>
      <c r="J305" s="34">
        <v>60</v>
      </c>
      <c r="K305" s="36">
        <v>0</v>
      </c>
      <c r="L305" s="29">
        <v>220</v>
      </c>
      <c r="M305" s="34">
        <v>60</v>
      </c>
      <c r="N305" s="29">
        <v>125</v>
      </c>
      <c r="O305" s="29">
        <v>50</v>
      </c>
      <c r="P305" s="35">
        <v>0</v>
      </c>
      <c r="Q305" s="34">
        <v>31</v>
      </c>
      <c r="R305" s="35">
        <v>0</v>
      </c>
      <c r="S305" s="29">
        <v>37</v>
      </c>
      <c r="T305" s="34">
        <v>37</v>
      </c>
      <c r="U305" s="29">
        <v>55</v>
      </c>
      <c r="V305" s="34">
        <v>23</v>
      </c>
      <c r="W305" s="36">
        <v>0</v>
      </c>
      <c r="X305" s="35">
        <v>0</v>
      </c>
      <c r="Y305" s="36">
        <v>0</v>
      </c>
      <c r="Z305" s="29">
        <v>63</v>
      </c>
      <c r="AA305" s="34">
        <v>3</v>
      </c>
      <c r="AB305" s="36">
        <v>0</v>
      </c>
      <c r="AC305" s="29">
        <v>14</v>
      </c>
    </row>
    <row r="306" spans="1:29" x14ac:dyDescent="0.3">
      <c r="A306" s="27" t="s">
        <v>402</v>
      </c>
      <c r="B306" s="35">
        <v>0</v>
      </c>
      <c r="C306" s="36">
        <v>0</v>
      </c>
      <c r="D306" s="35">
        <v>0</v>
      </c>
      <c r="E306" s="36">
        <v>0</v>
      </c>
      <c r="F306" s="34">
        <v>20</v>
      </c>
      <c r="G306" s="35">
        <v>0</v>
      </c>
      <c r="H306" s="36">
        <v>0</v>
      </c>
      <c r="I306" s="35">
        <v>0</v>
      </c>
      <c r="J306" s="34">
        <v>40</v>
      </c>
      <c r="K306" s="34">
        <v>33</v>
      </c>
      <c r="L306" s="29">
        <v>20</v>
      </c>
      <c r="M306" s="34">
        <v>20</v>
      </c>
      <c r="N306" s="35">
        <v>0</v>
      </c>
      <c r="O306" s="35">
        <v>0</v>
      </c>
      <c r="P306" s="35">
        <v>0</v>
      </c>
      <c r="Q306" s="34">
        <v>2</v>
      </c>
      <c r="R306" s="35">
        <v>0</v>
      </c>
      <c r="S306" s="35">
        <v>0</v>
      </c>
      <c r="T306" s="36">
        <v>0</v>
      </c>
      <c r="U306" s="29">
        <v>9</v>
      </c>
      <c r="V306" s="36">
        <v>0</v>
      </c>
      <c r="W306" s="34">
        <v>20</v>
      </c>
      <c r="X306" s="35">
        <v>0</v>
      </c>
      <c r="Y306" s="34">
        <v>6</v>
      </c>
      <c r="Z306" s="29">
        <v>6</v>
      </c>
      <c r="AA306" s="36">
        <v>0</v>
      </c>
      <c r="AB306" s="36">
        <v>0</v>
      </c>
      <c r="AC306" s="29">
        <v>7</v>
      </c>
    </row>
    <row r="307" spans="1:29" x14ac:dyDescent="0.3">
      <c r="A307" s="27" t="s">
        <v>403</v>
      </c>
      <c r="B307" s="35">
        <v>0</v>
      </c>
      <c r="C307" s="36">
        <v>0</v>
      </c>
      <c r="D307" s="35">
        <v>0</v>
      </c>
      <c r="E307" s="34">
        <v>14</v>
      </c>
      <c r="F307" s="36">
        <v>0</v>
      </c>
      <c r="G307" s="35">
        <v>0</v>
      </c>
      <c r="H307" s="36">
        <v>0</v>
      </c>
      <c r="I307" s="35">
        <v>0</v>
      </c>
      <c r="J307" s="36">
        <v>0</v>
      </c>
      <c r="K307" s="36">
        <v>0</v>
      </c>
      <c r="L307" s="29">
        <v>20</v>
      </c>
      <c r="M307" s="34">
        <v>40</v>
      </c>
      <c r="N307" s="35">
        <v>0</v>
      </c>
      <c r="O307" s="35">
        <v>0</v>
      </c>
      <c r="P307" s="35">
        <v>0</v>
      </c>
      <c r="Q307" s="36">
        <v>0</v>
      </c>
      <c r="R307" s="35">
        <v>0</v>
      </c>
      <c r="S307" s="35">
        <v>0</v>
      </c>
      <c r="T307" s="36">
        <v>0</v>
      </c>
      <c r="U307" s="35">
        <v>0</v>
      </c>
      <c r="V307" s="36">
        <v>0</v>
      </c>
      <c r="W307" s="36">
        <v>0</v>
      </c>
      <c r="X307" s="35">
        <v>0</v>
      </c>
      <c r="Y307" s="36">
        <v>0</v>
      </c>
      <c r="Z307" s="35">
        <v>0</v>
      </c>
      <c r="AA307" s="36">
        <v>0</v>
      </c>
      <c r="AB307" s="36">
        <v>0</v>
      </c>
      <c r="AC307" s="35">
        <v>0</v>
      </c>
    </row>
    <row r="308" spans="1:29" x14ac:dyDescent="0.3">
      <c r="A308" s="21" t="s">
        <v>119</v>
      </c>
      <c r="B308" s="35">
        <v>0</v>
      </c>
      <c r="C308" s="36">
        <v>0</v>
      </c>
      <c r="D308" s="35">
        <v>0</v>
      </c>
      <c r="E308" s="36">
        <v>0</v>
      </c>
      <c r="F308" s="36">
        <v>0</v>
      </c>
      <c r="G308" s="35">
        <v>0</v>
      </c>
      <c r="H308" s="36">
        <v>0</v>
      </c>
      <c r="I308" s="35">
        <v>0</v>
      </c>
      <c r="J308" s="36">
        <v>0</v>
      </c>
      <c r="K308" s="36">
        <v>0</v>
      </c>
      <c r="L308" s="35">
        <v>0</v>
      </c>
      <c r="M308" s="36">
        <v>0</v>
      </c>
      <c r="N308" s="35">
        <v>0</v>
      </c>
      <c r="O308" s="35">
        <v>0</v>
      </c>
      <c r="P308" s="35">
        <v>0</v>
      </c>
      <c r="Q308" s="36">
        <v>0</v>
      </c>
      <c r="R308" s="35">
        <v>0</v>
      </c>
      <c r="S308" s="35">
        <v>0</v>
      </c>
      <c r="T308" s="36">
        <v>0</v>
      </c>
      <c r="U308" s="35">
        <v>0</v>
      </c>
      <c r="V308" s="36">
        <v>0</v>
      </c>
      <c r="W308" s="36">
        <v>0</v>
      </c>
      <c r="X308" s="35">
        <v>0</v>
      </c>
      <c r="Y308" s="36">
        <v>0</v>
      </c>
      <c r="Z308" s="35">
        <v>0</v>
      </c>
      <c r="AA308" s="36">
        <v>0</v>
      </c>
      <c r="AB308" s="36">
        <v>0</v>
      </c>
      <c r="AC308" s="35">
        <v>0</v>
      </c>
    </row>
    <row r="309" spans="1:29" x14ac:dyDescent="0.3">
      <c r="A309" s="21" t="s">
        <v>404</v>
      </c>
      <c r="B309" s="35">
        <v>0</v>
      </c>
      <c r="C309" s="36">
        <v>0</v>
      </c>
      <c r="D309" s="35">
        <v>0</v>
      </c>
      <c r="E309" s="36">
        <v>0</v>
      </c>
      <c r="F309" s="34">
        <v>20</v>
      </c>
      <c r="G309" s="35">
        <v>0</v>
      </c>
      <c r="H309" s="36">
        <v>0</v>
      </c>
      <c r="I309" s="29">
        <v>10</v>
      </c>
      <c r="J309" s="34">
        <v>40</v>
      </c>
      <c r="K309" s="34">
        <v>83</v>
      </c>
      <c r="L309" s="35">
        <v>0</v>
      </c>
      <c r="M309" s="36">
        <v>0</v>
      </c>
      <c r="N309" s="35">
        <v>0</v>
      </c>
      <c r="O309" s="35">
        <v>0</v>
      </c>
      <c r="P309" s="35">
        <v>0</v>
      </c>
      <c r="Q309" s="36">
        <v>0</v>
      </c>
      <c r="R309" s="29">
        <v>1</v>
      </c>
      <c r="S309" s="35">
        <v>0</v>
      </c>
      <c r="T309" s="36">
        <v>0</v>
      </c>
      <c r="U309" s="35">
        <v>0</v>
      </c>
      <c r="V309" s="36">
        <v>0</v>
      </c>
      <c r="W309" s="36">
        <v>0</v>
      </c>
      <c r="X309" s="35">
        <v>0</v>
      </c>
      <c r="Y309" s="36">
        <v>0</v>
      </c>
      <c r="Z309" s="35">
        <v>0</v>
      </c>
      <c r="AA309" s="36">
        <v>0</v>
      </c>
      <c r="AB309" s="36">
        <v>0</v>
      </c>
      <c r="AC309" s="35">
        <v>0</v>
      </c>
    </row>
    <row r="310" spans="1:29" x14ac:dyDescent="0.3">
      <c r="A310" s="21" t="s">
        <v>405</v>
      </c>
      <c r="B310" s="35">
        <v>0</v>
      </c>
      <c r="C310" s="36">
        <v>0</v>
      </c>
      <c r="D310" s="35">
        <v>0</v>
      </c>
      <c r="E310" s="36">
        <v>0</v>
      </c>
      <c r="F310" s="36">
        <v>0</v>
      </c>
      <c r="G310" s="35">
        <v>0</v>
      </c>
      <c r="H310" s="36">
        <v>0</v>
      </c>
      <c r="I310" s="35">
        <v>0</v>
      </c>
      <c r="J310" s="36">
        <v>0</v>
      </c>
      <c r="K310" s="36">
        <v>0</v>
      </c>
      <c r="L310" s="35">
        <v>0</v>
      </c>
      <c r="M310" s="36">
        <v>0</v>
      </c>
      <c r="N310" s="35">
        <v>0</v>
      </c>
      <c r="O310" s="35">
        <v>0</v>
      </c>
      <c r="P310" s="35">
        <v>0</v>
      </c>
      <c r="Q310" s="36">
        <v>0</v>
      </c>
      <c r="R310" s="35">
        <v>0</v>
      </c>
      <c r="S310" s="35">
        <v>0</v>
      </c>
      <c r="T310" s="36">
        <v>0</v>
      </c>
      <c r="U310" s="35">
        <v>0</v>
      </c>
      <c r="V310" s="36">
        <v>0</v>
      </c>
      <c r="W310" s="36">
        <v>0</v>
      </c>
      <c r="X310" s="35">
        <v>0</v>
      </c>
      <c r="Y310" s="36">
        <v>0</v>
      </c>
      <c r="Z310" s="35">
        <v>0</v>
      </c>
      <c r="AA310" s="36">
        <v>0</v>
      </c>
      <c r="AB310" s="36">
        <v>0</v>
      </c>
      <c r="AC310" s="35">
        <v>0</v>
      </c>
    </row>
    <row r="311" spans="1:29" x14ac:dyDescent="0.3">
      <c r="A311" s="21" t="s">
        <v>406</v>
      </c>
      <c r="B311" s="35">
        <v>0</v>
      </c>
      <c r="C311" s="36">
        <v>0</v>
      </c>
      <c r="D311" s="35">
        <v>0</v>
      </c>
      <c r="E311" s="36">
        <v>0</v>
      </c>
      <c r="F311" s="36">
        <v>0</v>
      </c>
      <c r="G311" s="35">
        <v>0</v>
      </c>
      <c r="H311" s="36">
        <v>0</v>
      </c>
      <c r="I311" s="35">
        <v>0</v>
      </c>
      <c r="J311" s="36">
        <v>0</v>
      </c>
      <c r="K311" s="36">
        <v>0</v>
      </c>
      <c r="L311" s="35">
        <v>0</v>
      </c>
      <c r="M311" s="36">
        <v>0</v>
      </c>
      <c r="N311" s="35">
        <v>0</v>
      </c>
      <c r="O311" s="35">
        <v>0</v>
      </c>
      <c r="P311" s="35">
        <v>0</v>
      </c>
      <c r="Q311" s="36">
        <v>0</v>
      </c>
      <c r="R311" s="35">
        <v>0</v>
      </c>
      <c r="S311" s="35">
        <v>0</v>
      </c>
      <c r="T311" s="36">
        <v>0</v>
      </c>
      <c r="U311" s="35">
        <v>0</v>
      </c>
      <c r="V311" s="36">
        <v>0</v>
      </c>
      <c r="W311" s="36">
        <v>0</v>
      </c>
      <c r="X311" s="35">
        <v>0</v>
      </c>
      <c r="Y311" s="36">
        <v>0</v>
      </c>
      <c r="Z311" s="35">
        <v>0</v>
      </c>
      <c r="AA311" s="36">
        <v>0</v>
      </c>
      <c r="AB311" s="36">
        <v>0</v>
      </c>
      <c r="AC311" s="35">
        <v>0</v>
      </c>
    </row>
    <row r="312" spans="1:29" x14ac:dyDescent="0.3">
      <c r="A312" s="27" t="s">
        <v>407</v>
      </c>
      <c r="B312" s="35">
        <v>0</v>
      </c>
      <c r="C312" s="36">
        <v>0</v>
      </c>
      <c r="D312" s="29">
        <v>14</v>
      </c>
      <c r="E312" s="34">
        <v>14</v>
      </c>
      <c r="F312" s="34">
        <v>100</v>
      </c>
      <c r="G312" s="29">
        <v>60</v>
      </c>
      <c r="H312" s="34">
        <v>20</v>
      </c>
      <c r="I312" s="35">
        <v>0</v>
      </c>
      <c r="J312" s="34">
        <v>140</v>
      </c>
      <c r="K312" s="36">
        <v>0</v>
      </c>
      <c r="L312" s="35">
        <v>0</v>
      </c>
      <c r="M312" s="34">
        <v>60</v>
      </c>
      <c r="N312" s="29">
        <v>13</v>
      </c>
      <c r="O312" s="29">
        <v>50</v>
      </c>
      <c r="P312" s="35">
        <v>0</v>
      </c>
      <c r="Q312" s="34">
        <v>1</v>
      </c>
      <c r="R312" s="35">
        <v>0</v>
      </c>
      <c r="S312" s="29">
        <v>4</v>
      </c>
      <c r="T312" s="36">
        <v>0</v>
      </c>
      <c r="U312" s="35">
        <v>0</v>
      </c>
      <c r="V312" s="36">
        <v>0</v>
      </c>
      <c r="W312" s="36">
        <v>0</v>
      </c>
      <c r="X312" s="35">
        <v>0</v>
      </c>
      <c r="Y312" s="36">
        <v>0</v>
      </c>
      <c r="Z312" s="35">
        <v>0</v>
      </c>
      <c r="AA312" s="36">
        <v>0</v>
      </c>
      <c r="AB312" s="36">
        <v>0</v>
      </c>
      <c r="AC312" s="35">
        <v>0</v>
      </c>
    </row>
    <row r="313" spans="1:29" x14ac:dyDescent="0.3">
      <c r="A313" s="21" t="s">
        <v>408</v>
      </c>
      <c r="B313" s="35">
        <v>0</v>
      </c>
      <c r="C313" s="36">
        <v>0</v>
      </c>
      <c r="D313" s="35">
        <v>0</v>
      </c>
      <c r="E313" s="36">
        <v>0</v>
      </c>
      <c r="F313" s="36">
        <v>0</v>
      </c>
      <c r="G313" s="35">
        <v>0</v>
      </c>
      <c r="H313" s="36">
        <v>0</v>
      </c>
      <c r="I313" s="35">
        <v>0</v>
      </c>
      <c r="J313" s="34">
        <v>20</v>
      </c>
      <c r="K313" s="34">
        <v>33</v>
      </c>
      <c r="L313" s="35">
        <v>0</v>
      </c>
      <c r="M313" s="36">
        <v>0</v>
      </c>
      <c r="N313" s="35">
        <v>0</v>
      </c>
      <c r="O313" s="35">
        <v>0</v>
      </c>
      <c r="P313" s="35">
        <v>0</v>
      </c>
      <c r="Q313" s="36">
        <v>0</v>
      </c>
      <c r="R313" s="29">
        <v>1</v>
      </c>
      <c r="S313" s="35">
        <v>0</v>
      </c>
      <c r="T313" s="36">
        <v>0</v>
      </c>
      <c r="U313" s="35">
        <v>0</v>
      </c>
      <c r="V313" s="36">
        <v>0</v>
      </c>
      <c r="W313" s="36">
        <v>0</v>
      </c>
      <c r="X313" s="35">
        <v>0</v>
      </c>
      <c r="Y313" s="36">
        <v>0</v>
      </c>
      <c r="Z313" s="35">
        <v>0</v>
      </c>
      <c r="AA313" s="36">
        <v>0</v>
      </c>
      <c r="AB313" s="36">
        <v>0</v>
      </c>
      <c r="AC313" s="35">
        <v>0</v>
      </c>
    </row>
    <row r="314" spans="1:29" x14ac:dyDescent="0.3">
      <c r="A314" s="27" t="s">
        <v>409</v>
      </c>
      <c r="B314" s="35">
        <v>0</v>
      </c>
      <c r="C314" s="36">
        <v>0</v>
      </c>
      <c r="D314" s="35">
        <v>0</v>
      </c>
      <c r="E314" s="36">
        <v>0</v>
      </c>
      <c r="F314" s="36">
        <v>0</v>
      </c>
      <c r="G314" s="35">
        <v>0</v>
      </c>
      <c r="H314" s="36">
        <v>0</v>
      </c>
      <c r="I314" s="35">
        <v>0</v>
      </c>
      <c r="J314" s="36">
        <v>0</v>
      </c>
      <c r="K314" s="36">
        <v>0</v>
      </c>
      <c r="L314" s="35">
        <v>0</v>
      </c>
      <c r="M314" s="36">
        <v>0</v>
      </c>
      <c r="N314" s="35">
        <v>0</v>
      </c>
      <c r="O314" s="35">
        <v>0</v>
      </c>
      <c r="P314" s="35">
        <v>0</v>
      </c>
      <c r="Q314" s="36">
        <v>0</v>
      </c>
      <c r="R314" s="35">
        <v>0</v>
      </c>
      <c r="S314" s="29">
        <v>26</v>
      </c>
      <c r="T314" s="36">
        <v>0</v>
      </c>
      <c r="U314" s="35">
        <v>0</v>
      </c>
      <c r="V314" s="36">
        <v>0</v>
      </c>
      <c r="W314" s="36">
        <v>0</v>
      </c>
      <c r="X314" s="29">
        <v>25</v>
      </c>
      <c r="Y314" s="34">
        <v>6</v>
      </c>
      <c r="Z314" s="35">
        <v>0</v>
      </c>
      <c r="AA314" s="36">
        <v>0</v>
      </c>
      <c r="AB314" s="36">
        <v>0</v>
      </c>
      <c r="AC314" s="35">
        <v>0</v>
      </c>
    </row>
    <row r="315" spans="1:29" x14ac:dyDescent="0.3">
      <c r="A315" s="27" t="s">
        <v>410</v>
      </c>
      <c r="B315" s="35">
        <v>0</v>
      </c>
      <c r="C315" s="34">
        <v>10</v>
      </c>
      <c r="D315" s="29">
        <v>14</v>
      </c>
      <c r="E315" s="36">
        <v>0</v>
      </c>
      <c r="F315" s="36">
        <v>0</v>
      </c>
      <c r="G315" s="35">
        <v>0</v>
      </c>
      <c r="H315" s="36">
        <v>0</v>
      </c>
      <c r="I315" s="35">
        <v>0</v>
      </c>
      <c r="J315" s="36">
        <v>0</v>
      </c>
      <c r="K315" s="36">
        <v>0</v>
      </c>
      <c r="L315" s="35">
        <v>0</v>
      </c>
      <c r="M315" s="36">
        <v>0</v>
      </c>
      <c r="N315" s="35">
        <v>0</v>
      </c>
      <c r="O315" s="35">
        <v>0</v>
      </c>
      <c r="P315" s="35">
        <v>0</v>
      </c>
      <c r="Q315" s="36">
        <v>0</v>
      </c>
      <c r="R315" s="35">
        <v>0</v>
      </c>
      <c r="S315" s="35">
        <v>0</v>
      </c>
      <c r="T315" s="36">
        <v>0</v>
      </c>
      <c r="U315" s="35">
        <v>0</v>
      </c>
      <c r="V315" s="36">
        <v>0</v>
      </c>
      <c r="W315" s="36">
        <v>0</v>
      </c>
      <c r="X315" s="35">
        <v>0</v>
      </c>
      <c r="Y315" s="36">
        <v>0</v>
      </c>
      <c r="Z315" s="35">
        <v>0</v>
      </c>
      <c r="AA315" s="36">
        <v>0</v>
      </c>
      <c r="AB315" s="36">
        <v>0</v>
      </c>
      <c r="AC315" s="35">
        <v>0</v>
      </c>
    </row>
    <row r="316" spans="1:29" x14ac:dyDescent="0.3">
      <c r="A316" s="27" t="s">
        <v>411</v>
      </c>
      <c r="B316" s="35">
        <v>0</v>
      </c>
      <c r="C316" s="36">
        <v>0</v>
      </c>
      <c r="D316" s="35">
        <v>0</v>
      </c>
      <c r="E316" s="36">
        <v>0</v>
      </c>
      <c r="F316" s="36">
        <v>0</v>
      </c>
      <c r="G316" s="35">
        <v>0</v>
      </c>
      <c r="H316" s="36">
        <v>0</v>
      </c>
      <c r="I316" s="35">
        <v>0</v>
      </c>
      <c r="J316" s="36">
        <v>0</v>
      </c>
      <c r="K316" s="36">
        <v>0</v>
      </c>
      <c r="L316" s="35">
        <v>0</v>
      </c>
      <c r="M316" s="36">
        <v>0</v>
      </c>
      <c r="N316" s="35">
        <v>0</v>
      </c>
      <c r="O316" s="35">
        <v>0</v>
      </c>
      <c r="P316" s="35">
        <v>0</v>
      </c>
      <c r="Q316" s="36">
        <v>0</v>
      </c>
      <c r="R316" s="35">
        <v>0</v>
      </c>
      <c r="S316" s="29">
        <v>4</v>
      </c>
      <c r="T316" s="36">
        <v>0</v>
      </c>
      <c r="U316" s="29">
        <v>9</v>
      </c>
      <c r="V316" s="36">
        <v>0</v>
      </c>
      <c r="W316" s="34">
        <v>25</v>
      </c>
      <c r="X316" s="35">
        <v>0</v>
      </c>
      <c r="Y316" s="34">
        <v>18</v>
      </c>
      <c r="Z316" s="29">
        <v>31</v>
      </c>
      <c r="AA316" s="34">
        <v>7</v>
      </c>
      <c r="AB316" s="36">
        <v>0</v>
      </c>
      <c r="AC316" s="35">
        <v>0</v>
      </c>
    </row>
    <row r="317" spans="1:29" x14ac:dyDescent="0.3">
      <c r="A317" s="21" t="s">
        <v>412</v>
      </c>
      <c r="B317" s="35">
        <v>0</v>
      </c>
      <c r="C317" s="36">
        <v>0</v>
      </c>
      <c r="D317" s="35">
        <v>0</v>
      </c>
      <c r="E317" s="36">
        <v>0</v>
      </c>
      <c r="F317" s="36">
        <v>0</v>
      </c>
      <c r="G317" s="35">
        <v>0</v>
      </c>
      <c r="H317" s="36">
        <v>0</v>
      </c>
      <c r="I317" s="35">
        <v>0</v>
      </c>
      <c r="J317" s="36">
        <v>0</v>
      </c>
      <c r="K317" s="36">
        <v>0</v>
      </c>
      <c r="L317" s="35">
        <v>0</v>
      </c>
      <c r="M317" s="36">
        <v>0</v>
      </c>
      <c r="N317" s="35">
        <v>0</v>
      </c>
      <c r="O317" s="35">
        <v>0</v>
      </c>
      <c r="P317" s="35">
        <v>0</v>
      </c>
      <c r="Q317" s="36">
        <v>0</v>
      </c>
      <c r="R317" s="35">
        <v>0</v>
      </c>
      <c r="S317" s="35">
        <v>0</v>
      </c>
      <c r="T317" s="36">
        <v>0</v>
      </c>
      <c r="U317" s="35">
        <v>0</v>
      </c>
      <c r="V317" s="36">
        <v>0</v>
      </c>
      <c r="W317" s="36">
        <v>0</v>
      </c>
      <c r="X317" s="35">
        <v>0</v>
      </c>
      <c r="Y317" s="36">
        <v>0</v>
      </c>
      <c r="Z317" s="35">
        <v>0</v>
      </c>
      <c r="AA317" s="36">
        <v>0</v>
      </c>
      <c r="AB317" s="36">
        <v>0</v>
      </c>
      <c r="AC317" s="35">
        <v>0</v>
      </c>
    </row>
    <row r="318" spans="1:29" x14ac:dyDescent="0.3">
      <c r="A318" s="27" t="s">
        <v>413</v>
      </c>
      <c r="B318" s="35">
        <v>0</v>
      </c>
      <c r="C318" s="36">
        <v>0</v>
      </c>
      <c r="D318" s="35">
        <v>0</v>
      </c>
      <c r="E318" s="36">
        <v>0</v>
      </c>
      <c r="F318" s="36">
        <v>0</v>
      </c>
      <c r="G318" s="35">
        <v>0</v>
      </c>
      <c r="H318" s="36">
        <v>0</v>
      </c>
      <c r="I318" s="29">
        <v>10</v>
      </c>
      <c r="J318" s="34">
        <v>20</v>
      </c>
      <c r="K318" s="36">
        <v>0</v>
      </c>
      <c r="L318" s="35">
        <v>0</v>
      </c>
      <c r="M318" s="36">
        <v>0</v>
      </c>
      <c r="N318" s="35">
        <v>0</v>
      </c>
      <c r="O318" s="35">
        <v>0</v>
      </c>
      <c r="P318" s="35">
        <v>0</v>
      </c>
      <c r="Q318" s="36">
        <v>0</v>
      </c>
      <c r="R318" s="35">
        <v>0</v>
      </c>
      <c r="S318" s="35">
        <v>0</v>
      </c>
      <c r="T318" s="36">
        <v>0</v>
      </c>
      <c r="U318" s="35">
        <v>0</v>
      </c>
      <c r="V318" s="36">
        <v>0</v>
      </c>
      <c r="W318" s="36">
        <v>0</v>
      </c>
      <c r="X318" s="35">
        <v>0</v>
      </c>
      <c r="Y318" s="36">
        <v>0</v>
      </c>
      <c r="Z318" s="35">
        <v>0</v>
      </c>
      <c r="AA318" s="36">
        <v>0</v>
      </c>
      <c r="AB318" s="36">
        <v>0</v>
      </c>
      <c r="AC318" s="35">
        <v>0</v>
      </c>
    </row>
    <row r="319" spans="1:29" x14ac:dyDescent="0.3">
      <c r="A319" s="21" t="s">
        <v>414</v>
      </c>
      <c r="B319" s="35">
        <v>0</v>
      </c>
      <c r="C319" s="34">
        <v>10</v>
      </c>
      <c r="D319" s="29">
        <v>29</v>
      </c>
      <c r="E319" s="34">
        <v>14</v>
      </c>
      <c r="F319" s="34">
        <v>100</v>
      </c>
      <c r="G319" s="35">
        <v>0</v>
      </c>
      <c r="H319" s="36">
        <v>0</v>
      </c>
      <c r="I319" s="35">
        <v>0</v>
      </c>
      <c r="J319" s="34">
        <v>140</v>
      </c>
      <c r="K319" s="34">
        <v>167</v>
      </c>
      <c r="L319" s="35">
        <v>0</v>
      </c>
      <c r="M319" s="36">
        <v>0</v>
      </c>
      <c r="N319" s="29">
        <v>13</v>
      </c>
      <c r="O319" s="35">
        <v>0</v>
      </c>
      <c r="P319" s="35">
        <v>0</v>
      </c>
      <c r="Q319" s="36">
        <v>0</v>
      </c>
      <c r="R319" s="35">
        <v>0</v>
      </c>
      <c r="S319" s="35">
        <v>0</v>
      </c>
      <c r="T319" s="36">
        <v>0</v>
      </c>
      <c r="U319" s="35">
        <v>0</v>
      </c>
      <c r="V319" s="36">
        <v>0</v>
      </c>
      <c r="W319" s="34">
        <v>15</v>
      </c>
      <c r="X319" s="35">
        <v>0</v>
      </c>
      <c r="Y319" s="36">
        <v>0</v>
      </c>
      <c r="Z319" s="35">
        <v>0</v>
      </c>
      <c r="AA319" s="36">
        <v>0</v>
      </c>
      <c r="AB319" s="34">
        <v>5</v>
      </c>
      <c r="AC319" s="35">
        <v>0</v>
      </c>
    </row>
    <row r="320" spans="1:29" x14ac:dyDescent="0.3">
      <c r="A320" s="27" t="s">
        <v>415</v>
      </c>
      <c r="B320" s="35">
        <v>0</v>
      </c>
      <c r="C320" s="36">
        <v>0</v>
      </c>
      <c r="D320" s="29">
        <v>129</v>
      </c>
      <c r="E320" s="34">
        <v>43</v>
      </c>
      <c r="F320" s="34">
        <v>240</v>
      </c>
      <c r="G320" s="35">
        <v>0</v>
      </c>
      <c r="H320" s="36">
        <v>0</v>
      </c>
      <c r="I320" s="29">
        <v>20</v>
      </c>
      <c r="J320" s="34">
        <v>100</v>
      </c>
      <c r="K320" s="36">
        <v>0</v>
      </c>
      <c r="L320" s="35">
        <v>0</v>
      </c>
      <c r="M320" s="36">
        <v>0</v>
      </c>
      <c r="N320" s="35">
        <v>0</v>
      </c>
      <c r="O320" s="35">
        <v>0</v>
      </c>
      <c r="P320" s="35">
        <v>0</v>
      </c>
      <c r="Q320" s="36">
        <v>0</v>
      </c>
      <c r="R320" s="35">
        <v>0</v>
      </c>
      <c r="S320" s="35">
        <v>0</v>
      </c>
      <c r="T320" s="36">
        <v>0</v>
      </c>
      <c r="U320" s="35">
        <v>0</v>
      </c>
      <c r="V320" s="36">
        <v>0</v>
      </c>
      <c r="W320" s="36">
        <v>0</v>
      </c>
      <c r="X320" s="35">
        <v>0</v>
      </c>
      <c r="Y320" s="36">
        <v>0</v>
      </c>
      <c r="Z320" s="35">
        <v>0</v>
      </c>
      <c r="AA320" s="36">
        <v>0</v>
      </c>
      <c r="AB320" s="36">
        <v>0</v>
      </c>
      <c r="AC320" s="35">
        <v>0</v>
      </c>
    </row>
    <row r="321" spans="1:29" x14ac:dyDescent="0.3">
      <c r="A321" s="27" t="s">
        <v>416</v>
      </c>
      <c r="B321" s="35">
        <v>0</v>
      </c>
      <c r="C321" s="36">
        <v>0</v>
      </c>
      <c r="D321" s="35">
        <v>0</v>
      </c>
      <c r="E321" s="36">
        <v>0</v>
      </c>
      <c r="F321" s="34">
        <v>40</v>
      </c>
      <c r="G321" s="35">
        <v>0</v>
      </c>
      <c r="H321" s="36">
        <v>0</v>
      </c>
      <c r="I321" s="35">
        <v>0</v>
      </c>
      <c r="J321" s="34">
        <v>240</v>
      </c>
      <c r="K321" s="36">
        <v>0</v>
      </c>
      <c r="L321" s="35">
        <v>0</v>
      </c>
      <c r="M321" s="36">
        <v>0</v>
      </c>
      <c r="N321" s="35">
        <v>0</v>
      </c>
      <c r="O321" s="35">
        <v>0</v>
      </c>
      <c r="P321" s="35">
        <v>0</v>
      </c>
      <c r="Q321" s="36">
        <v>0</v>
      </c>
      <c r="R321" s="35">
        <v>0</v>
      </c>
      <c r="S321" s="35">
        <v>0</v>
      </c>
      <c r="T321" s="36">
        <v>0</v>
      </c>
      <c r="U321" s="35">
        <v>0</v>
      </c>
      <c r="V321" s="36">
        <v>0</v>
      </c>
      <c r="W321" s="36">
        <v>0</v>
      </c>
      <c r="X321" s="35">
        <v>0</v>
      </c>
      <c r="Y321" s="36">
        <v>0</v>
      </c>
      <c r="Z321" s="35">
        <v>0</v>
      </c>
      <c r="AA321" s="36">
        <v>0</v>
      </c>
      <c r="AB321" s="36">
        <v>0</v>
      </c>
      <c r="AC321" s="35">
        <v>0</v>
      </c>
    </row>
    <row r="322" spans="1:29" x14ac:dyDescent="0.3">
      <c r="A322" s="21" t="s">
        <v>119</v>
      </c>
      <c r="B322" s="35">
        <v>0</v>
      </c>
      <c r="C322" s="36">
        <v>0</v>
      </c>
      <c r="D322" s="35">
        <v>0</v>
      </c>
      <c r="E322" s="36">
        <v>0</v>
      </c>
      <c r="F322" s="36">
        <v>0</v>
      </c>
      <c r="G322" s="35">
        <v>0</v>
      </c>
      <c r="H322" s="36">
        <v>0</v>
      </c>
      <c r="I322" s="35">
        <v>0</v>
      </c>
      <c r="J322" s="36">
        <v>0</v>
      </c>
      <c r="K322" s="36">
        <v>0</v>
      </c>
      <c r="L322" s="35">
        <v>0</v>
      </c>
      <c r="M322" s="36">
        <v>0</v>
      </c>
      <c r="N322" s="35">
        <v>0</v>
      </c>
      <c r="O322" s="35">
        <v>0</v>
      </c>
      <c r="P322" s="35">
        <v>0</v>
      </c>
      <c r="Q322" s="36">
        <v>0</v>
      </c>
      <c r="R322" s="35">
        <v>0</v>
      </c>
      <c r="S322" s="35">
        <v>0</v>
      </c>
      <c r="T322" s="36">
        <v>0</v>
      </c>
      <c r="U322" s="35">
        <v>0</v>
      </c>
      <c r="V322" s="36">
        <v>0</v>
      </c>
      <c r="W322" s="36">
        <v>0</v>
      </c>
      <c r="X322" s="35">
        <v>0</v>
      </c>
      <c r="Y322" s="36">
        <v>0</v>
      </c>
      <c r="Z322" s="35">
        <v>0</v>
      </c>
      <c r="AA322" s="36">
        <v>0</v>
      </c>
      <c r="AB322" s="36">
        <v>0</v>
      </c>
      <c r="AC322" s="35">
        <v>0</v>
      </c>
    </row>
    <row r="323" spans="1:29" x14ac:dyDescent="0.3">
      <c r="A323" s="21" t="s">
        <v>417</v>
      </c>
      <c r="B323" s="35">
        <v>0</v>
      </c>
      <c r="C323" s="36">
        <v>0</v>
      </c>
      <c r="D323" s="35">
        <v>0</v>
      </c>
      <c r="E323" s="36">
        <v>0</v>
      </c>
      <c r="F323" s="36">
        <v>0</v>
      </c>
      <c r="G323" s="35">
        <v>0</v>
      </c>
      <c r="H323" s="36">
        <v>0</v>
      </c>
      <c r="I323" s="35">
        <v>0</v>
      </c>
      <c r="J323" s="36">
        <v>0</v>
      </c>
      <c r="K323" s="36">
        <v>0</v>
      </c>
      <c r="L323" s="35">
        <v>0</v>
      </c>
      <c r="M323" s="36">
        <v>0</v>
      </c>
      <c r="N323" s="35">
        <v>0</v>
      </c>
      <c r="O323" s="35">
        <v>0</v>
      </c>
      <c r="P323" s="35">
        <v>0</v>
      </c>
      <c r="Q323" s="36">
        <v>0</v>
      </c>
      <c r="R323" s="35">
        <v>0</v>
      </c>
      <c r="S323" s="35">
        <v>0</v>
      </c>
      <c r="T323" s="36">
        <v>0</v>
      </c>
      <c r="U323" s="35">
        <v>0</v>
      </c>
      <c r="V323" s="36">
        <v>0</v>
      </c>
      <c r="W323" s="36">
        <v>0</v>
      </c>
      <c r="X323" s="35">
        <v>0</v>
      </c>
      <c r="Y323" s="36">
        <v>0</v>
      </c>
      <c r="Z323" s="35">
        <v>0</v>
      </c>
      <c r="AA323" s="36">
        <v>0</v>
      </c>
      <c r="AB323" s="36">
        <v>0</v>
      </c>
      <c r="AC323" s="35">
        <v>0</v>
      </c>
    </row>
    <row r="324" spans="1:29" x14ac:dyDescent="0.3">
      <c r="A324" s="21" t="s">
        <v>418</v>
      </c>
      <c r="B324" s="35">
        <v>0</v>
      </c>
      <c r="C324" s="36">
        <v>0</v>
      </c>
      <c r="D324" s="35">
        <v>0</v>
      </c>
      <c r="E324" s="36">
        <v>0</v>
      </c>
      <c r="F324" s="36">
        <v>0</v>
      </c>
      <c r="G324" s="35">
        <v>0</v>
      </c>
      <c r="H324" s="36">
        <v>0</v>
      </c>
      <c r="I324" s="35">
        <v>0</v>
      </c>
      <c r="J324" s="36">
        <v>0</v>
      </c>
      <c r="K324" s="36">
        <v>0</v>
      </c>
      <c r="L324" s="35">
        <v>0</v>
      </c>
      <c r="M324" s="36">
        <v>0</v>
      </c>
      <c r="N324" s="35">
        <v>0</v>
      </c>
      <c r="O324" s="35">
        <v>0</v>
      </c>
      <c r="P324" s="35">
        <v>0</v>
      </c>
      <c r="Q324" s="36">
        <v>0</v>
      </c>
      <c r="R324" s="35">
        <v>0</v>
      </c>
      <c r="S324" s="35">
        <v>0</v>
      </c>
      <c r="T324" s="36">
        <v>0</v>
      </c>
      <c r="U324" s="35">
        <v>0</v>
      </c>
      <c r="V324" s="36">
        <v>0</v>
      </c>
      <c r="W324" s="36">
        <v>0</v>
      </c>
      <c r="X324" s="35">
        <v>0</v>
      </c>
      <c r="Y324" s="36">
        <v>0</v>
      </c>
      <c r="Z324" s="35">
        <v>0</v>
      </c>
      <c r="AA324" s="36">
        <v>0</v>
      </c>
      <c r="AB324" s="36">
        <v>0</v>
      </c>
      <c r="AC324" s="35">
        <v>0</v>
      </c>
    </row>
    <row r="325" spans="1:29" x14ac:dyDescent="0.3">
      <c r="A325" s="21" t="s">
        <v>419</v>
      </c>
      <c r="B325" s="35">
        <v>0</v>
      </c>
      <c r="C325" s="36">
        <v>0</v>
      </c>
      <c r="D325" s="35">
        <v>0</v>
      </c>
      <c r="E325" s="36">
        <v>0</v>
      </c>
      <c r="F325" s="36">
        <v>0</v>
      </c>
      <c r="G325" s="35">
        <v>0</v>
      </c>
      <c r="H325" s="36">
        <v>0</v>
      </c>
      <c r="I325" s="35">
        <v>0</v>
      </c>
      <c r="J325" s="36">
        <v>0</v>
      </c>
      <c r="K325" s="36">
        <v>0</v>
      </c>
      <c r="L325" s="35">
        <v>0</v>
      </c>
      <c r="M325" s="36">
        <v>0</v>
      </c>
      <c r="N325" s="35">
        <v>0</v>
      </c>
      <c r="O325" s="35">
        <v>0</v>
      </c>
      <c r="P325" s="35">
        <v>0</v>
      </c>
      <c r="Q325" s="36">
        <v>0</v>
      </c>
      <c r="R325" s="35">
        <v>0</v>
      </c>
      <c r="S325" s="35">
        <v>0</v>
      </c>
      <c r="T325" s="36">
        <v>0</v>
      </c>
      <c r="U325" s="35">
        <v>0</v>
      </c>
      <c r="V325" s="36">
        <v>0</v>
      </c>
      <c r="W325" s="36">
        <v>0</v>
      </c>
      <c r="X325" s="35">
        <v>0</v>
      </c>
      <c r="Y325" s="36">
        <v>0</v>
      </c>
      <c r="Z325" s="35">
        <v>0</v>
      </c>
      <c r="AA325" s="36">
        <v>0</v>
      </c>
      <c r="AB325" s="36">
        <v>0</v>
      </c>
      <c r="AC325" s="35">
        <v>0</v>
      </c>
    </row>
    <row r="326" spans="1:29" x14ac:dyDescent="0.3">
      <c r="A326" s="21" t="s">
        <v>420</v>
      </c>
      <c r="B326" s="35">
        <v>0</v>
      </c>
      <c r="C326" s="36">
        <v>0</v>
      </c>
      <c r="D326" s="35">
        <v>0</v>
      </c>
      <c r="E326" s="36">
        <v>0</v>
      </c>
      <c r="F326" s="36">
        <v>0</v>
      </c>
      <c r="G326" s="35">
        <v>0</v>
      </c>
      <c r="H326" s="36">
        <v>0</v>
      </c>
      <c r="I326" s="35">
        <v>0</v>
      </c>
      <c r="J326" s="36">
        <v>0</v>
      </c>
      <c r="K326" s="36">
        <v>0</v>
      </c>
      <c r="L326" s="35">
        <v>0</v>
      </c>
      <c r="M326" s="36">
        <v>0</v>
      </c>
      <c r="N326" s="35">
        <v>0</v>
      </c>
      <c r="O326" s="35">
        <v>0</v>
      </c>
      <c r="P326" s="35">
        <v>0</v>
      </c>
      <c r="Q326" s="36">
        <v>0</v>
      </c>
      <c r="R326" s="35">
        <v>0</v>
      </c>
      <c r="S326" s="35">
        <v>0</v>
      </c>
      <c r="T326" s="36">
        <v>0</v>
      </c>
      <c r="U326" s="35">
        <v>0</v>
      </c>
      <c r="V326" s="36">
        <v>0</v>
      </c>
      <c r="W326" s="36">
        <v>0</v>
      </c>
      <c r="X326" s="35">
        <v>0</v>
      </c>
      <c r="Y326" s="36">
        <v>0</v>
      </c>
      <c r="Z326" s="35">
        <v>0</v>
      </c>
      <c r="AA326" s="36">
        <v>0</v>
      </c>
      <c r="AB326" s="36">
        <v>0</v>
      </c>
      <c r="AC326" s="35">
        <v>0</v>
      </c>
    </row>
    <row r="327" spans="1:29" x14ac:dyDescent="0.3">
      <c r="A327" s="21" t="s">
        <v>421</v>
      </c>
      <c r="B327" s="35">
        <v>0</v>
      </c>
      <c r="C327" s="36">
        <v>0</v>
      </c>
      <c r="D327" s="35">
        <v>0</v>
      </c>
      <c r="E327" s="36">
        <v>0</v>
      </c>
      <c r="F327" s="36">
        <v>0</v>
      </c>
      <c r="G327" s="35">
        <v>0</v>
      </c>
      <c r="H327" s="36">
        <v>0</v>
      </c>
      <c r="I327" s="35">
        <v>0</v>
      </c>
      <c r="J327" s="36">
        <v>0</v>
      </c>
      <c r="K327" s="36">
        <v>0</v>
      </c>
      <c r="L327" s="35">
        <v>0</v>
      </c>
      <c r="M327" s="36">
        <v>0</v>
      </c>
      <c r="N327" s="35">
        <v>0</v>
      </c>
      <c r="O327" s="35">
        <v>0</v>
      </c>
      <c r="P327" s="35">
        <v>0</v>
      </c>
      <c r="Q327" s="36">
        <v>0</v>
      </c>
      <c r="R327" s="35">
        <v>0</v>
      </c>
      <c r="S327" s="35">
        <v>0</v>
      </c>
      <c r="T327" s="36">
        <v>0</v>
      </c>
      <c r="U327" s="35">
        <v>0</v>
      </c>
      <c r="V327" s="36">
        <v>0</v>
      </c>
      <c r="W327" s="36">
        <v>0</v>
      </c>
      <c r="X327" s="35">
        <v>0</v>
      </c>
      <c r="Y327" s="36">
        <v>0</v>
      </c>
      <c r="Z327" s="35">
        <v>0</v>
      </c>
      <c r="AA327" s="36">
        <v>0</v>
      </c>
      <c r="AB327" s="36">
        <v>0</v>
      </c>
      <c r="AC327" s="35">
        <v>0</v>
      </c>
    </row>
    <row r="328" spans="1:29" x14ac:dyDescent="0.3">
      <c r="A328" s="27" t="s">
        <v>422</v>
      </c>
      <c r="B328" s="35">
        <v>0</v>
      </c>
      <c r="C328" s="36">
        <v>0</v>
      </c>
      <c r="D328" s="35">
        <v>0</v>
      </c>
      <c r="E328" s="36">
        <v>0</v>
      </c>
      <c r="F328" s="36">
        <v>0</v>
      </c>
      <c r="G328" s="35">
        <v>0</v>
      </c>
      <c r="H328" s="36">
        <v>0</v>
      </c>
      <c r="I328" s="35">
        <v>0</v>
      </c>
      <c r="J328" s="36">
        <v>0</v>
      </c>
      <c r="K328" s="36">
        <v>0</v>
      </c>
      <c r="L328" s="35">
        <v>0</v>
      </c>
      <c r="M328" s="36">
        <v>0</v>
      </c>
      <c r="N328" s="35">
        <v>0</v>
      </c>
      <c r="O328" s="35">
        <v>0</v>
      </c>
      <c r="P328" s="35">
        <v>0</v>
      </c>
      <c r="Q328" s="36">
        <v>0</v>
      </c>
      <c r="R328" s="35">
        <v>0</v>
      </c>
      <c r="S328" s="35">
        <v>0</v>
      </c>
      <c r="T328" s="36">
        <v>0</v>
      </c>
      <c r="U328" s="35">
        <v>0</v>
      </c>
      <c r="V328" s="36">
        <v>0</v>
      </c>
      <c r="W328" s="36">
        <v>0</v>
      </c>
      <c r="X328" s="35">
        <v>0</v>
      </c>
      <c r="Y328" s="36">
        <v>0</v>
      </c>
      <c r="Z328" s="35">
        <v>0</v>
      </c>
      <c r="AA328" s="36">
        <v>0</v>
      </c>
      <c r="AB328" s="36">
        <v>0</v>
      </c>
      <c r="AC328" s="35">
        <v>0</v>
      </c>
    </row>
    <row r="329" spans="1:29" x14ac:dyDescent="0.3">
      <c r="A329" s="21" t="s">
        <v>119</v>
      </c>
      <c r="B329" s="35">
        <v>0</v>
      </c>
      <c r="C329" s="36">
        <v>0</v>
      </c>
      <c r="D329" s="35">
        <v>0</v>
      </c>
      <c r="E329" s="36">
        <v>0</v>
      </c>
      <c r="F329" s="36">
        <v>0</v>
      </c>
      <c r="G329" s="35">
        <v>0</v>
      </c>
      <c r="H329" s="36">
        <v>0</v>
      </c>
      <c r="I329" s="35">
        <v>0</v>
      </c>
      <c r="J329" s="36">
        <v>0</v>
      </c>
      <c r="K329" s="36">
        <v>0</v>
      </c>
      <c r="L329" s="35">
        <v>0</v>
      </c>
      <c r="M329" s="36">
        <v>0</v>
      </c>
      <c r="N329" s="35">
        <v>0</v>
      </c>
      <c r="O329" s="35">
        <v>0</v>
      </c>
      <c r="P329" s="35">
        <v>0</v>
      </c>
      <c r="Q329" s="36">
        <v>0</v>
      </c>
      <c r="R329" s="35">
        <v>0</v>
      </c>
      <c r="S329" s="35">
        <v>0</v>
      </c>
      <c r="T329" s="36">
        <v>0</v>
      </c>
      <c r="U329" s="35">
        <v>0</v>
      </c>
      <c r="V329" s="36">
        <v>0</v>
      </c>
      <c r="W329" s="36">
        <v>0</v>
      </c>
      <c r="X329" s="35">
        <v>0</v>
      </c>
      <c r="Y329" s="36">
        <v>0</v>
      </c>
      <c r="Z329" s="35">
        <v>0</v>
      </c>
      <c r="AA329" s="36">
        <v>0</v>
      </c>
      <c r="AB329" s="36">
        <v>0</v>
      </c>
      <c r="AC329" s="35">
        <v>0</v>
      </c>
    </row>
    <row r="330" spans="1:29" x14ac:dyDescent="0.3">
      <c r="A330" s="21" t="s">
        <v>423</v>
      </c>
      <c r="B330" s="35">
        <v>0</v>
      </c>
      <c r="C330" s="36">
        <v>0</v>
      </c>
      <c r="D330" s="35">
        <v>0</v>
      </c>
      <c r="E330" s="36">
        <v>0</v>
      </c>
      <c r="F330" s="36">
        <v>0</v>
      </c>
      <c r="G330" s="35">
        <v>0</v>
      </c>
      <c r="H330" s="36">
        <v>0</v>
      </c>
      <c r="I330" s="35">
        <v>0</v>
      </c>
      <c r="J330" s="36">
        <v>0</v>
      </c>
      <c r="K330" s="36">
        <v>0</v>
      </c>
      <c r="L330" s="35">
        <v>0</v>
      </c>
      <c r="M330" s="36">
        <v>0</v>
      </c>
      <c r="N330" s="35">
        <v>0</v>
      </c>
      <c r="O330" s="35">
        <v>0</v>
      </c>
      <c r="P330" s="35">
        <v>0</v>
      </c>
      <c r="Q330" s="36">
        <v>0</v>
      </c>
      <c r="R330" s="35">
        <v>0</v>
      </c>
      <c r="S330" s="35">
        <v>0</v>
      </c>
      <c r="T330" s="36">
        <v>0</v>
      </c>
      <c r="U330" s="35">
        <v>0</v>
      </c>
      <c r="V330" s="36">
        <v>0</v>
      </c>
      <c r="W330" s="36">
        <v>0</v>
      </c>
      <c r="X330" s="35">
        <v>0</v>
      </c>
      <c r="Y330" s="36">
        <v>0</v>
      </c>
      <c r="Z330" s="35">
        <v>0</v>
      </c>
      <c r="AA330" s="36">
        <v>0</v>
      </c>
      <c r="AB330" s="36">
        <v>0</v>
      </c>
      <c r="AC330" s="35">
        <v>0</v>
      </c>
    </row>
    <row r="331" spans="1:29" x14ac:dyDescent="0.3">
      <c r="A331" s="21" t="s">
        <v>424</v>
      </c>
      <c r="B331" s="35">
        <v>0</v>
      </c>
      <c r="C331" s="36">
        <v>0</v>
      </c>
      <c r="D331" s="35">
        <v>0</v>
      </c>
      <c r="E331" s="36">
        <v>0</v>
      </c>
      <c r="F331" s="36">
        <v>0</v>
      </c>
      <c r="G331" s="35">
        <v>0</v>
      </c>
      <c r="H331" s="36">
        <v>0</v>
      </c>
      <c r="I331" s="35">
        <v>0</v>
      </c>
      <c r="J331" s="36">
        <v>0</v>
      </c>
      <c r="K331" s="36">
        <v>0</v>
      </c>
      <c r="L331" s="35">
        <v>0</v>
      </c>
      <c r="M331" s="36">
        <v>0</v>
      </c>
      <c r="N331" s="35">
        <v>0</v>
      </c>
      <c r="O331" s="35">
        <v>0</v>
      </c>
      <c r="P331" s="35">
        <v>0</v>
      </c>
      <c r="Q331" s="36">
        <v>0</v>
      </c>
      <c r="R331" s="35">
        <v>0</v>
      </c>
      <c r="S331" s="35">
        <v>0</v>
      </c>
      <c r="T331" s="36">
        <v>0</v>
      </c>
      <c r="U331" s="35">
        <v>0</v>
      </c>
      <c r="V331" s="36">
        <v>0</v>
      </c>
      <c r="W331" s="36">
        <v>0</v>
      </c>
      <c r="X331" s="35">
        <v>0</v>
      </c>
      <c r="Y331" s="36">
        <v>0</v>
      </c>
      <c r="Z331" s="35">
        <v>0</v>
      </c>
      <c r="AA331" s="36">
        <v>0</v>
      </c>
      <c r="AB331" s="36">
        <v>0</v>
      </c>
      <c r="AC331" s="35">
        <v>0</v>
      </c>
    </row>
    <row r="332" spans="1:29" x14ac:dyDescent="0.3">
      <c r="A332" s="21" t="s">
        <v>119</v>
      </c>
      <c r="B332" s="35">
        <v>0</v>
      </c>
      <c r="C332" s="36">
        <v>0</v>
      </c>
      <c r="D332" s="35">
        <v>0</v>
      </c>
      <c r="E332" s="36">
        <v>0</v>
      </c>
      <c r="F332" s="36">
        <v>0</v>
      </c>
      <c r="G332" s="35">
        <v>0</v>
      </c>
      <c r="H332" s="36">
        <v>0</v>
      </c>
      <c r="I332" s="35">
        <v>0</v>
      </c>
      <c r="J332" s="36">
        <v>0</v>
      </c>
      <c r="K332" s="36">
        <v>0</v>
      </c>
      <c r="L332" s="35">
        <v>0</v>
      </c>
      <c r="M332" s="36">
        <v>0</v>
      </c>
      <c r="N332" s="35">
        <v>0</v>
      </c>
      <c r="O332" s="35">
        <v>0</v>
      </c>
      <c r="P332" s="35">
        <v>0</v>
      </c>
      <c r="Q332" s="36">
        <v>0</v>
      </c>
      <c r="R332" s="35">
        <v>0</v>
      </c>
      <c r="S332" s="35">
        <v>0</v>
      </c>
      <c r="T332" s="36">
        <v>0</v>
      </c>
      <c r="U332" s="35">
        <v>0</v>
      </c>
      <c r="V332" s="36">
        <v>0</v>
      </c>
      <c r="W332" s="36">
        <v>0</v>
      </c>
      <c r="X332" s="35">
        <v>0</v>
      </c>
      <c r="Y332" s="36">
        <v>0</v>
      </c>
      <c r="Z332" s="35">
        <v>0</v>
      </c>
      <c r="AA332" s="36">
        <v>0</v>
      </c>
      <c r="AB332" s="36">
        <v>0</v>
      </c>
      <c r="AC332" s="35">
        <v>0</v>
      </c>
    </row>
    <row r="333" spans="1:29" x14ac:dyDescent="0.3">
      <c r="A333" s="21" t="s">
        <v>425</v>
      </c>
      <c r="B333" s="35">
        <v>0</v>
      </c>
      <c r="C333" s="36">
        <v>0</v>
      </c>
      <c r="D333" s="35">
        <v>0</v>
      </c>
      <c r="E333" s="36">
        <v>0</v>
      </c>
      <c r="F333" s="36">
        <v>0</v>
      </c>
      <c r="G333" s="35">
        <v>0</v>
      </c>
      <c r="H333" s="36">
        <v>0</v>
      </c>
      <c r="I333" s="35">
        <v>0</v>
      </c>
      <c r="J333" s="34">
        <v>20</v>
      </c>
      <c r="K333" s="36">
        <v>0</v>
      </c>
      <c r="L333" s="35">
        <v>0</v>
      </c>
      <c r="M333" s="36">
        <v>0</v>
      </c>
      <c r="N333" s="35">
        <v>0</v>
      </c>
      <c r="O333" s="35">
        <v>0</v>
      </c>
      <c r="P333" s="35">
        <v>0</v>
      </c>
      <c r="Q333" s="36">
        <v>0</v>
      </c>
      <c r="R333" s="35">
        <v>0</v>
      </c>
      <c r="S333" s="35">
        <v>0</v>
      </c>
      <c r="T333" s="36">
        <v>0</v>
      </c>
      <c r="U333" s="35">
        <v>0</v>
      </c>
      <c r="V333" s="36">
        <v>0</v>
      </c>
      <c r="W333" s="36">
        <v>0</v>
      </c>
      <c r="X333" s="35">
        <v>0</v>
      </c>
      <c r="Y333" s="36">
        <v>0</v>
      </c>
      <c r="Z333" s="35">
        <v>0</v>
      </c>
      <c r="AA333" s="36">
        <v>0</v>
      </c>
      <c r="AB333" s="36">
        <v>0</v>
      </c>
      <c r="AC333" s="35">
        <v>0</v>
      </c>
    </row>
    <row r="334" spans="1:29" x14ac:dyDescent="0.3">
      <c r="A334" s="21" t="s">
        <v>426</v>
      </c>
      <c r="B334" s="35">
        <v>0</v>
      </c>
      <c r="C334" s="36">
        <v>0</v>
      </c>
      <c r="D334" s="35">
        <v>0</v>
      </c>
      <c r="E334" s="36">
        <v>0</v>
      </c>
      <c r="F334" s="36">
        <v>0</v>
      </c>
      <c r="G334" s="35">
        <v>0</v>
      </c>
      <c r="H334" s="36">
        <v>0</v>
      </c>
      <c r="I334" s="35">
        <v>0</v>
      </c>
      <c r="J334" s="36">
        <v>0</v>
      </c>
      <c r="K334" s="36">
        <v>0</v>
      </c>
      <c r="L334" s="35">
        <v>0</v>
      </c>
      <c r="M334" s="36">
        <v>0</v>
      </c>
      <c r="N334" s="35">
        <v>0</v>
      </c>
      <c r="O334" s="35">
        <v>0</v>
      </c>
      <c r="P334" s="35">
        <v>0</v>
      </c>
      <c r="Q334" s="36">
        <v>0</v>
      </c>
      <c r="R334" s="35">
        <v>0</v>
      </c>
      <c r="S334" s="35">
        <v>0</v>
      </c>
      <c r="T334" s="36">
        <v>0</v>
      </c>
      <c r="U334" s="35">
        <v>0</v>
      </c>
      <c r="V334" s="36">
        <v>0</v>
      </c>
      <c r="W334" s="36">
        <v>0</v>
      </c>
      <c r="X334" s="35">
        <v>0</v>
      </c>
      <c r="Y334" s="36">
        <v>0</v>
      </c>
      <c r="Z334" s="35">
        <v>0</v>
      </c>
      <c r="AA334" s="36">
        <v>0</v>
      </c>
      <c r="AB334" s="36">
        <v>0</v>
      </c>
      <c r="AC334" s="35">
        <v>0</v>
      </c>
    </row>
    <row r="335" spans="1:29" x14ac:dyDescent="0.3">
      <c r="A335" s="21" t="s">
        <v>427</v>
      </c>
      <c r="B335" s="35">
        <v>0</v>
      </c>
      <c r="C335" s="34">
        <v>10</v>
      </c>
      <c r="D335" s="35">
        <v>0</v>
      </c>
      <c r="E335" s="36">
        <v>0</v>
      </c>
      <c r="F335" s="36">
        <v>0</v>
      </c>
      <c r="G335" s="35">
        <v>0</v>
      </c>
      <c r="H335" s="36">
        <v>0</v>
      </c>
      <c r="I335" s="35">
        <v>0</v>
      </c>
      <c r="J335" s="36">
        <v>0</v>
      </c>
      <c r="K335" s="36">
        <v>0</v>
      </c>
      <c r="L335" s="35">
        <v>0</v>
      </c>
      <c r="M335" s="36">
        <v>0</v>
      </c>
      <c r="N335" s="35">
        <v>0</v>
      </c>
      <c r="O335" s="35">
        <v>0</v>
      </c>
      <c r="P335" s="35">
        <v>0</v>
      </c>
      <c r="Q335" s="36">
        <v>0</v>
      </c>
      <c r="R335" s="29">
        <v>10</v>
      </c>
      <c r="S335" s="35">
        <v>0</v>
      </c>
      <c r="T335" s="36">
        <v>0</v>
      </c>
      <c r="U335" s="35">
        <v>0</v>
      </c>
      <c r="V335" s="36">
        <v>0</v>
      </c>
      <c r="W335" s="36">
        <v>0</v>
      </c>
      <c r="X335" s="29">
        <v>6</v>
      </c>
      <c r="Y335" s="36">
        <v>0</v>
      </c>
      <c r="Z335" s="35">
        <v>0</v>
      </c>
      <c r="AA335" s="36">
        <v>0</v>
      </c>
      <c r="AB335" s="36">
        <v>0</v>
      </c>
      <c r="AC335" s="35">
        <v>0</v>
      </c>
    </row>
    <row r="336" spans="1:29" x14ac:dyDescent="0.3">
      <c r="A336" s="21" t="s">
        <v>119</v>
      </c>
      <c r="B336" s="35">
        <v>0</v>
      </c>
      <c r="C336" s="36">
        <v>0</v>
      </c>
      <c r="D336" s="35">
        <v>0</v>
      </c>
      <c r="E336" s="36">
        <v>0</v>
      </c>
      <c r="F336" s="36">
        <v>0</v>
      </c>
      <c r="G336" s="35">
        <v>0</v>
      </c>
      <c r="H336" s="36">
        <v>0</v>
      </c>
      <c r="I336" s="35">
        <v>0</v>
      </c>
      <c r="J336" s="36">
        <v>0</v>
      </c>
      <c r="K336" s="36">
        <v>0</v>
      </c>
      <c r="L336" s="35">
        <v>0</v>
      </c>
      <c r="M336" s="36">
        <v>0</v>
      </c>
      <c r="N336" s="35">
        <v>0</v>
      </c>
      <c r="O336" s="35">
        <v>0</v>
      </c>
      <c r="P336" s="35">
        <v>0</v>
      </c>
      <c r="Q336" s="36">
        <v>0</v>
      </c>
      <c r="R336" s="35">
        <v>0</v>
      </c>
      <c r="S336" s="35">
        <v>0</v>
      </c>
      <c r="T336" s="36">
        <v>0</v>
      </c>
      <c r="U336" s="35">
        <v>0</v>
      </c>
      <c r="V336" s="36">
        <v>0</v>
      </c>
      <c r="W336" s="36">
        <v>0</v>
      </c>
      <c r="X336" s="35">
        <v>0</v>
      </c>
      <c r="Y336" s="36">
        <v>0</v>
      </c>
      <c r="Z336" s="35">
        <v>0</v>
      </c>
      <c r="AA336" s="36">
        <v>0</v>
      </c>
      <c r="AB336" s="36">
        <v>0</v>
      </c>
      <c r="AC336" s="35">
        <v>0</v>
      </c>
    </row>
    <row r="337" spans="1:29" x14ac:dyDescent="0.3">
      <c r="A337" s="21" t="s">
        <v>428</v>
      </c>
      <c r="B337" s="35">
        <v>0</v>
      </c>
      <c r="C337" s="36">
        <v>0</v>
      </c>
      <c r="D337" s="35">
        <v>0</v>
      </c>
      <c r="E337" s="36">
        <v>0</v>
      </c>
      <c r="F337" s="36">
        <v>0</v>
      </c>
      <c r="G337" s="35">
        <v>0</v>
      </c>
      <c r="H337" s="36">
        <v>0</v>
      </c>
      <c r="I337" s="35">
        <v>0</v>
      </c>
      <c r="J337" s="36">
        <v>0</v>
      </c>
      <c r="K337" s="36">
        <v>0</v>
      </c>
      <c r="L337" s="35">
        <v>0</v>
      </c>
      <c r="M337" s="36">
        <v>0</v>
      </c>
      <c r="N337" s="35">
        <v>0</v>
      </c>
      <c r="O337" s="35">
        <v>0</v>
      </c>
      <c r="P337" s="35">
        <v>0</v>
      </c>
      <c r="Q337" s="36">
        <v>0</v>
      </c>
      <c r="R337" s="35">
        <v>0</v>
      </c>
      <c r="S337" s="35">
        <v>0</v>
      </c>
      <c r="T337" s="36">
        <v>0</v>
      </c>
      <c r="U337" s="35">
        <v>0</v>
      </c>
      <c r="V337" s="36">
        <v>0</v>
      </c>
      <c r="W337" s="36">
        <v>0</v>
      </c>
      <c r="X337" s="35">
        <v>0</v>
      </c>
      <c r="Y337" s="36">
        <v>0</v>
      </c>
      <c r="Z337" s="35">
        <v>0</v>
      </c>
      <c r="AA337" s="36">
        <v>0</v>
      </c>
      <c r="AB337" s="36">
        <v>0</v>
      </c>
      <c r="AC337" s="35">
        <v>0</v>
      </c>
    </row>
    <row r="338" spans="1:29" x14ac:dyDescent="0.3">
      <c r="A338" s="21" t="s">
        <v>429</v>
      </c>
      <c r="B338" s="35">
        <v>0</v>
      </c>
      <c r="C338" s="36">
        <v>0</v>
      </c>
      <c r="D338" s="35">
        <v>0</v>
      </c>
      <c r="E338" s="36">
        <v>0</v>
      </c>
      <c r="F338" s="36">
        <v>0</v>
      </c>
      <c r="G338" s="35">
        <v>0</v>
      </c>
      <c r="H338" s="36">
        <v>0</v>
      </c>
      <c r="I338" s="35">
        <v>0</v>
      </c>
      <c r="J338" s="36">
        <v>0</v>
      </c>
      <c r="K338" s="36">
        <v>0</v>
      </c>
      <c r="L338" s="35">
        <v>0</v>
      </c>
      <c r="M338" s="36">
        <v>0</v>
      </c>
      <c r="N338" s="35">
        <v>0</v>
      </c>
      <c r="O338" s="35">
        <v>0</v>
      </c>
      <c r="P338" s="35">
        <v>0</v>
      </c>
      <c r="Q338" s="36">
        <v>0</v>
      </c>
      <c r="R338" s="35">
        <v>0</v>
      </c>
      <c r="S338" s="35">
        <v>0</v>
      </c>
      <c r="T338" s="36">
        <v>0</v>
      </c>
      <c r="U338" s="35">
        <v>0</v>
      </c>
      <c r="V338" s="36">
        <v>0</v>
      </c>
      <c r="W338" s="36">
        <v>0</v>
      </c>
      <c r="X338" s="35">
        <v>0</v>
      </c>
      <c r="Y338" s="36">
        <v>0</v>
      </c>
      <c r="Z338" s="35">
        <v>0</v>
      </c>
      <c r="AA338" s="36">
        <v>0</v>
      </c>
      <c r="AB338" s="36">
        <v>0</v>
      </c>
      <c r="AC338" s="35">
        <v>0</v>
      </c>
    </row>
    <row r="339" spans="1:29" x14ac:dyDescent="0.3">
      <c r="A339" s="27" t="s">
        <v>430</v>
      </c>
      <c r="B339" s="35">
        <v>0</v>
      </c>
      <c r="C339" s="36">
        <v>0</v>
      </c>
      <c r="D339" s="29">
        <v>14</v>
      </c>
      <c r="E339" s="36">
        <v>0</v>
      </c>
      <c r="F339" s="36">
        <v>0</v>
      </c>
      <c r="G339" s="29">
        <v>20</v>
      </c>
      <c r="H339" s="34">
        <v>80</v>
      </c>
      <c r="I339" s="35">
        <v>0</v>
      </c>
      <c r="J339" s="34">
        <v>20</v>
      </c>
      <c r="K339" s="34">
        <v>83</v>
      </c>
      <c r="L339" s="35">
        <v>0</v>
      </c>
      <c r="M339" s="36">
        <v>0</v>
      </c>
      <c r="N339" s="35">
        <v>0</v>
      </c>
      <c r="O339" s="29">
        <v>17</v>
      </c>
      <c r="P339" s="35">
        <v>0</v>
      </c>
      <c r="Q339" s="34">
        <v>20</v>
      </c>
      <c r="R339" s="35">
        <v>0</v>
      </c>
      <c r="S339" s="35">
        <v>0</v>
      </c>
      <c r="T339" s="34">
        <v>5</v>
      </c>
      <c r="U339" s="35">
        <v>0</v>
      </c>
      <c r="V339" s="36">
        <v>0</v>
      </c>
      <c r="W339" s="34">
        <v>10</v>
      </c>
      <c r="X339" s="35">
        <v>0</v>
      </c>
      <c r="Y339" s="36">
        <v>0</v>
      </c>
      <c r="Z339" s="29">
        <v>6</v>
      </c>
      <c r="AA339" s="36">
        <v>0</v>
      </c>
      <c r="AB339" s="36">
        <v>0</v>
      </c>
      <c r="AC339" s="29">
        <v>7</v>
      </c>
    </row>
    <row r="340" spans="1:29" x14ac:dyDescent="0.3">
      <c r="A340" s="27" t="s">
        <v>431</v>
      </c>
      <c r="B340" s="35">
        <v>0</v>
      </c>
      <c r="C340" s="36">
        <v>0</v>
      </c>
      <c r="D340" s="35">
        <v>0</v>
      </c>
      <c r="E340" s="36">
        <v>0</v>
      </c>
      <c r="F340" s="36">
        <v>0</v>
      </c>
      <c r="G340" s="35">
        <v>0</v>
      </c>
      <c r="H340" s="36">
        <v>0</v>
      </c>
      <c r="I340" s="35">
        <v>0</v>
      </c>
      <c r="J340" s="36">
        <v>0</v>
      </c>
      <c r="K340" s="36">
        <v>0</v>
      </c>
      <c r="L340" s="35">
        <v>0</v>
      </c>
      <c r="M340" s="36">
        <v>0</v>
      </c>
      <c r="N340" s="35">
        <v>0</v>
      </c>
      <c r="O340" s="35">
        <v>0</v>
      </c>
      <c r="P340" s="35">
        <v>0</v>
      </c>
      <c r="Q340" s="36">
        <v>0</v>
      </c>
      <c r="R340" s="35">
        <v>0</v>
      </c>
      <c r="S340" s="35">
        <v>0</v>
      </c>
      <c r="T340" s="36">
        <v>0</v>
      </c>
      <c r="U340" s="35">
        <v>0</v>
      </c>
      <c r="V340" s="36">
        <v>0</v>
      </c>
      <c r="W340" s="36">
        <v>0</v>
      </c>
      <c r="X340" s="29">
        <v>50</v>
      </c>
      <c r="Y340" s="36">
        <v>0</v>
      </c>
      <c r="Z340" s="35">
        <v>0</v>
      </c>
      <c r="AA340" s="36">
        <v>0</v>
      </c>
      <c r="AB340" s="36">
        <v>0</v>
      </c>
      <c r="AC340" s="35">
        <v>0</v>
      </c>
    </row>
    <row r="341" spans="1:29" x14ac:dyDescent="0.3">
      <c r="A341" s="27" t="s">
        <v>432</v>
      </c>
      <c r="B341" s="35">
        <v>0</v>
      </c>
      <c r="C341" s="36">
        <v>0</v>
      </c>
      <c r="D341" s="35">
        <v>0</v>
      </c>
      <c r="E341" s="36">
        <v>0</v>
      </c>
      <c r="F341" s="36">
        <v>0</v>
      </c>
      <c r="G341" s="35">
        <v>0</v>
      </c>
      <c r="H341" s="36">
        <v>0</v>
      </c>
      <c r="I341" s="35">
        <v>0</v>
      </c>
      <c r="J341" s="36">
        <v>0</v>
      </c>
      <c r="K341" s="36">
        <v>0</v>
      </c>
      <c r="L341" s="35">
        <v>0</v>
      </c>
      <c r="M341" s="36">
        <v>0</v>
      </c>
      <c r="N341" s="35">
        <v>0</v>
      </c>
      <c r="O341" s="35">
        <v>0</v>
      </c>
      <c r="P341" s="35">
        <v>0</v>
      </c>
      <c r="Q341" s="36">
        <v>0</v>
      </c>
      <c r="R341" s="35">
        <v>0</v>
      </c>
      <c r="S341" s="35">
        <v>0</v>
      </c>
      <c r="T341" s="36">
        <v>0</v>
      </c>
      <c r="U341" s="35">
        <v>0</v>
      </c>
      <c r="V341" s="36">
        <v>0</v>
      </c>
      <c r="W341" s="36">
        <v>0</v>
      </c>
      <c r="X341" s="29">
        <v>6</v>
      </c>
      <c r="Y341" s="36">
        <v>0</v>
      </c>
      <c r="Z341" s="35">
        <v>0</v>
      </c>
      <c r="AA341" s="36">
        <v>0</v>
      </c>
      <c r="AB341" s="36">
        <v>0</v>
      </c>
      <c r="AC341" s="35">
        <v>0</v>
      </c>
    </row>
    <row r="342" spans="1:29" x14ac:dyDescent="0.3">
      <c r="A342" s="21" t="s">
        <v>433</v>
      </c>
      <c r="B342" s="35">
        <v>0</v>
      </c>
      <c r="C342" s="36">
        <v>0</v>
      </c>
      <c r="D342" s="35">
        <v>0</v>
      </c>
      <c r="E342" s="36">
        <v>0</v>
      </c>
      <c r="F342" s="36">
        <v>0</v>
      </c>
      <c r="G342" s="35">
        <v>0</v>
      </c>
      <c r="H342" s="36">
        <v>0</v>
      </c>
      <c r="I342" s="35">
        <v>0</v>
      </c>
      <c r="J342" s="36">
        <v>0</v>
      </c>
      <c r="K342" s="36">
        <v>0</v>
      </c>
      <c r="L342" s="35">
        <v>0</v>
      </c>
      <c r="M342" s="36">
        <v>0</v>
      </c>
      <c r="N342" s="35">
        <v>0</v>
      </c>
      <c r="O342" s="35">
        <v>0</v>
      </c>
      <c r="P342" s="29">
        <v>5</v>
      </c>
      <c r="Q342" s="36">
        <v>0</v>
      </c>
      <c r="R342" s="35">
        <v>0</v>
      </c>
      <c r="S342" s="35">
        <v>0</v>
      </c>
      <c r="T342" s="36">
        <v>0</v>
      </c>
      <c r="U342" s="35">
        <v>0</v>
      </c>
      <c r="V342" s="36">
        <v>0</v>
      </c>
      <c r="W342" s="36">
        <v>0</v>
      </c>
      <c r="X342" s="35">
        <v>0</v>
      </c>
      <c r="Y342" s="36">
        <v>0</v>
      </c>
      <c r="Z342" s="35">
        <v>0</v>
      </c>
      <c r="AA342" s="36">
        <v>0</v>
      </c>
      <c r="AB342" s="36">
        <v>0</v>
      </c>
      <c r="AC342" s="35">
        <v>0</v>
      </c>
    </row>
    <row r="343" spans="1:29" x14ac:dyDescent="0.3">
      <c r="A343" s="21" t="s">
        <v>434</v>
      </c>
      <c r="B343" s="35">
        <v>0</v>
      </c>
      <c r="C343" s="36">
        <v>0</v>
      </c>
      <c r="D343" s="35">
        <v>0</v>
      </c>
      <c r="E343" s="36">
        <v>0</v>
      </c>
      <c r="F343" s="36">
        <v>0</v>
      </c>
      <c r="G343" s="35">
        <v>0</v>
      </c>
      <c r="H343" s="36">
        <v>0</v>
      </c>
      <c r="I343" s="35">
        <v>0</v>
      </c>
      <c r="J343" s="36">
        <v>0</v>
      </c>
      <c r="K343" s="36">
        <v>0</v>
      </c>
      <c r="L343" s="35">
        <v>0</v>
      </c>
      <c r="M343" s="36">
        <v>0</v>
      </c>
      <c r="N343" s="35">
        <v>0</v>
      </c>
      <c r="O343" s="35">
        <v>0</v>
      </c>
      <c r="P343" s="35">
        <v>0</v>
      </c>
      <c r="Q343" s="36">
        <v>0</v>
      </c>
      <c r="R343" s="35">
        <v>0</v>
      </c>
      <c r="S343" s="29">
        <v>19</v>
      </c>
      <c r="T343" s="36">
        <v>0</v>
      </c>
      <c r="U343" s="35">
        <v>0</v>
      </c>
      <c r="V343" s="36">
        <v>0</v>
      </c>
      <c r="W343" s="36">
        <v>0</v>
      </c>
      <c r="X343" s="35">
        <v>0</v>
      </c>
      <c r="Y343" s="36">
        <v>0</v>
      </c>
      <c r="Z343" s="35">
        <v>0</v>
      </c>
      <c r="AA343" s="36">
        <v>0</v>
      </c>
      <c r="AB343" s="34">
        <v>10</v>
      </c>
      <c r="AC343" s="35">
        <v>0</v>
      </c>
    </row>
    <row r="344" spans="1:29" x14ac:dyDescent="0.3">
      <c r="A344" s="27" t="s">
        <v>435</v>
      </c>
      <c r="B344" s="35">
        <v>0</v>
      </c>
      <c r="C344" s="36">
        <v>0</v>
      </c>
      <c r="D344" s="29">
        <v>14</v>
      </c>
      <c r="E344" s="34">
        <v>714</v>
      </c>
      <c r="F344" s="34">
        <v>60</v>
      </c>
      <c r="G344" s="35">
        <v>0</v>
      </c>
      <c r="H344" s="36">
        <v>0</v>
      </c>
      <c r="I344" s="35">
        <v>0</v>
      </c>
      <c r="J344" s="34">
        <v>40</v>
      </c>
      <c r="K344" s="36">
        <v>0</v>
      </c>
      <c r="L344" s="35">
        <v>0</v>
      </c>
      <c r="M344" s="36">
        <v>0</v>
      </c>
      <c r="N344" s="35">
        <v>0</v>
      </c>
      <c r="O344" s="29">
        <v>17</v>
      </c>
      <c r="P344" s="29">
        <v>9</v>
      </c>
      <c r="Q344" s="36">
        <v>0</v>
      </c>
      <c r="R344" s="29">
        <v>1</v>
      </c>
      <c r="S344" s="29">
        <v>11</v>
      </c>
      <c r="T344" s="34">
        <v>5</v>
      </c>
      <c r="U344" s="29">
        <v>227</v>
      </c>
      <c r="V344" s="34">
        <v>8</v>
      </c>
      <c r="W344" s="36">
        <v>0</v>
      </c>
      <c r="X344" s="29">
        <v>31</v>
      </c>
      <c r="Y344" s="36">
        <v>0</v>
      </c>
      <c r="Z344" s="29">
        <v>6</v>
      </c>
      <c r="AA344" s="36">
        <v>0</v>
      </c>
      <c r="AB344" s="34">
        <v>10</v>
      </c>
      <c r="AC344" s="29">
        <v>207</v>
      </c>
    </row>
    <row r="345" spans="1:29" x14ac:dyDescent="0.3">
      <c r="A345" s="27" t="s">
        <v>436</v>
      </c>
      <c r="B345" s="29">
        <v>11</v>
      </c>
      <c r="C345" s="36">
        <v>0</v>
      </c>
      <c r="D345" s="29">
        <v>43</v>
      </c>
      <c r="E345" s="34">
        <v>43</v>
      </c>
      <c r="F345" s="34">
        <v>140</v>
      </c>
      <c r="G345" s="35">
        <v>0</v>
      </c>
      <c r="H345" s="36">
        <v>0</v>
      </c>
      <c r="I345" s="35">
        <v>0</v>
      </c>
      <c r="J345" s="34">
        <v>180</v>
      </c>
      <c r="K345" s="36">
        <v>0</v>
      </c>
      <c r="L345" s="35">
        <v>0</v>
      </c>
      <c r="M345" s="36">
        <v>0</v>
      </c>
      <c r="N345" s="35">
        <v>0</v>
      </c>
      <c r="O345" s="35">
        <v>0</v>
      </c>
      <c r="P345" s="35">
        <v>0</v>
      </c>
      <c r="Q345" s="36">
        <v>0</v>
      </c>
      <c r="R345" s="35">
        <v>0</v>
      </c>
      <c r="S345" s="35">
        <v>0</v>
      </c>
      <c r="T345" s="36">
        <v>0</v>
      </c>
      <c r="U345" s="35">
        <v>0</v>
      </c>
      <c r="V345" s="36">
        <v>0</v>
      </c>
      <c r="W345" s="36">
        <v>0</v>
      </c>
      <c r="X345" s="35">
        <v>0</v>
      </c>
      <c r="Y345" s="36">
        <v>0</v>
      </c>
      <c r="Z345" s="35">
        <v>0</v>
      </c>
      <c r="AA345" s="36">
        <v>0</v>
      </c>
      <c r="AB345" s="36">
        <v>0</v>
      </c>
      <c r="AC345" s="35">
        <v>0</v>
      </c>
    </row>
    <row r="346" spans="1:29" x14ac:dyDescent="0.3">
      <c r="A346" s="27" t="s">
        <v>437</v>
      </c>
      <c r="B346" s="35">
        <v>0</v>
      </c>
      <c r="C346" s="36">
        <v>0</v>
      </c>
      <c r="D346" s="35">
        <v>0</v>
      </c>
      <c r="E346" s="36">
        <v>0</v>
      </c>
      <c r="F346" s="36">
        <v>0</v>
      </c>
      <c r="G346" s="35">
        <v>0</v>
      </c>
      <c r="H346" s="36">
        <v>0</v>
      </c>
      <c r="I346" s="35">
        <v>0</v>
      </c>
      <c r="J346" s="36">
        <v>0</v>
      </c>
      <c r="K346" s="36">
        <v>0</v>
      </c>
      <c r="L346" s="35">
        <v>0</v>
      </c>
      <c r="M346" s="36">
        <v>0</v>
      </c>
      <c r="N346" s="35">
        <v>0</v>
      </c>
      <c r="O346" s="35">
        <v>0</v>
      </c>
      <c r="P346" s="35">
        <v>0</v>
      </c>
      <c r="Q346" s="36">
        <v>0</v>
      </c>
      <c r="R346" s="35">
        <v>0</v>
      </c>
      <c r="S346" s="35">
        <v>0</v>
      </c>
      <c r="T346" s="36">
        <v>0</v>
      </c>
      <c r="U346" s="35">
        <v>0</v>
      </c>
      <c r="V346" s="36">
        <v>0</v>
      </c>
      <c r="W346" s="36">
        <v>0</v>
      </c>
      <c r="X346" s="35">
        <v>0</v>
      </c>
      <c r="Y346" s="36">
        <v>0</v>
      </c>
      <c r="Z346" s="35">
        <v>0</v>
      </c>
      <c r="AA346" s="36">
        <v>0</v>
      </c>
      <c r="AB346" s="36">
        <v>0</v>
      </c>
      <c r="AC346" s="35">
        <v>0</v>
      </c>
    </row>
    <row r="347" spans="1:29" x14ac:dyDescent="0.3">
      <c r="A347" s="27" t="s">
        <v>438</v>
      </c>
      <c r="B347" s="35">
        <v>0</v>
      </c>
      <c r="C347" s="36">
        <v>0</v>
      </c>
      <c r="D347" s="35">
        <v>0</v>
      </c>
      <c r="E347" s="34">
        <v>14</v>
      </c>
      <c r="F347" s="36">
        <v>0</v>
      </c>
      <c r="G347" s="35">
        <v>0</v>
      </c>
      <c r="H347" s="36">
        <v>0</v>
      </c>
      <c r="I347" s="35">
        <v>0</v>
      </c>
      <c r="J347" s="36">
        <v>0</v>
      </c>
      <c r="K347" s="36">
        <v>0</v>
      </c>
      <c r="L347" s="35">
        <v>0</v>
      </c>
      <c r="M347" s="36">
        <v>0</v>
      </c>
      <c r="N347" s="35">
        <v>0</v>
      </c>
      <c r="O347" s="35">
        <v>0</v>
      </c>
      <c r="P347" s="35">
        <v>0</v>
      </c>
      <c r="Q347" s="36">
        <v>0</v>
      </c>
      <c r="R347" s="35">
        <v>0</v>
      </c>
      <c r="S347" s="35">
        <v>0</v>
      </c>
      <c r="T347" s="36">
        <v>0</v>
      </c>
      <c r="U347" s="35">
        <v>0</v>
      </c>
      <c r="V347" s="36">
        <v>0</v>
      </c>
      <c r="W347" s="36">
        <v>0</v>
      </c>
      <c r="X347" s="29">
        <v>6</v>
      </c>
      <c r="Y347" s="36">
        <v>0</v>
      </c>
      <c r="Z347" s="35">
        <v>0</v>
      </c>
      <c r="AA347" s="36">
        <v>0</v>
      </c>
      <c r="AB347" s="36">
        <v>0</v>
      </c>
      <c r="AC347" s="35">
        <v>0</v>
      </c>
    </row>
    <row r="348" spans="1:29" x14ac:dyDescent="0.3">
      <c r="A348" s="21" t="s">
        <v>439</v>
      </c>
      <c r="B348" s="35">
        <v>0</v>
      </c>
      <c r="C348" s="36">
        <v>0</v>
      </c>
      <c r="D348" s="35">
        <v>0</v>
      </c>
      <c r="E348" s="36">
        <v>0</v>
      </c>
      <c r="F348" s="36">
        <v>0</v>
      </c>
      <c r="G348" s="35">
        <v>0</v>
      </c>
      <c r="H348" s="36">
        <v>0</v>
      </c>
      <c r="I348" s="35">
        <v>0</v>
      </c>
      <c r="J348" s="36">
        <v>0</v>
      </c>
      <c r="K348" s="36">
        <v>0</v>
      </c>
      <c r="L348" s="35">
        <v>0</v>
      </c>
      <c r="M348" s="36">
        <v>0</v>
      </c>
      <c r="N348" s="35">
        <v>0</v>
      </c>
      <c r="O348" s="35">
        <v>0</v>
      </c>
      <c r="P348" s="35">
        <v>0</v>
      </c>
      <c r="Q348" s="34">
        <v>144</v>
      </c>
      <c r="R348" s="29">
        <v>64</v>
      </c>
      <c r="S348" s="29">
        <v>356</v>
      </c>
      <c r="T348" s="34">
        <v>26</v>
      </c>
      <c r="U348" s="29">
        <v>45</v>
      </c>
      <c r="V348" s="34">
        <v>8</v>
      </c>
      <c r="W348" s="36">
        <v>0</v>
      </c>
      <c r="X348" s="35">
        <v>0</v>
      </c>
      <c r="Y348" s="36">
        <v>0</v>
      </c>
      <c r="Z348" s="35">
        <v>0</v>
      </c>
      <c r="AA348" s="34">
        <v>14</v>
      </c>
      <c r="AB348" s="34">
        <v>365</v>
      </c>
      <c r="AC348" s="29">
        <v>7</v>
      </c>
    </row>
    <row r="349" spans="1:29" x14ac:dyDescent="0.3">
      <c r="A349" s="27" t="s">
        <v>440</v>
      </c>
      <c r="B349" s="35">
        <v>0</v>
      </c>
      <c r="C349" s="36">
        <v>0</v>
      </c>
      <c r="D349" s="35">
        <v>0</v>
      </c>
      <c r="E349" s="36">
        <v>0</v>
      </c>
      <c r="F349" s="36">
        <v>0</v>
      </c>
      <c r="G349" s="35">
        <v>0</v>
      </c>
      <c r="H349" s="36">
        <v>0</v>
      </c>
      <c r="I349" s="35">
        <v>0</v>
      </c>
      <c r="J349" s="36">
        <v>0</v>
      </c>
      <c r="K349" s="36">
        <v>0</v>
      </c>
      <c r="L349" s="35">
        <v>0</v>
      </c>
      <c r="M349" s="36">
        <v>0</v>
      </c>
      <c r="N349" s="35">
        <v>0</v>
      </c>
      <c r="O349" s="35">
        <v>0</v>
      </c>
      <c r="P349" s="35">
        <v>0</v>
      </c>
      <c r="Q349" s="36">
        <v>0</v>
      </c>
      <c r="R349" s="35">
        <v>0</v>
      </c>
      <c r="S349" s="35">
        <v>0</v>
      </c>
      <c r="T349" s="36">
        <v>0</v>
      </c>
      <c r="U349" s="35">
        <v>0</v>
      </c>
      <c r="V349" s="36">
        <v>0</v>
      </c>
      <c r="W349" s="36">
        <v>0</v>
      </c>
      <c r="X349" s="35">
        <v>0</v>
      </c>
      <c r="Y349" s="36">
        <v>0</v>
      </c>
      <c r="Z349" s="35">
        <v>0</v>
      </c>
      <c r="AA349" s="36">
        <v>0</v>
      </c>
      <c r="AB349" s="34">
        <v>5</v>
      </c>
      <c r="AC349" s="35">
        <v>0</v>
      </c>
    </row>
    <row r="350" spans="1:29" ht="15" thickBot="1" x14ac:dyDescent="0.35">
      <c r="A350" s="21" t="s">
        <v>441</v>
      </c>
      <c r="B350" s="29">
        <v>22</v>
      </c>
      <c r="C350" s="36">
        <v>0</v>
      </c>
      <c r="D350" s="29">
        <v>14</v>
      </c>
      <c r="E350" s="36">
        <v>0</v>
      </c>
      <c r="F350" s="34">
        <v>20</v>
      </c>
      <c r="G350" s="29">
        <v>100</v>
      </c>
      <c r="H350" s="34">
        <v>120</v>
      </c>
      <c r="I350" s="29">
        <v>160</v>
      </c>
      <c r="J350" s="34">
        <v>120</v>
      </c>
      <c r="K350" s="34">
        <v>83</v>
      </c>
      <c r="L350" s="29">
        <v>60</v>
      </c>
      <c r="M350" s="36">
        <v>0</v>
      </c>
      <c r="N350" s="35">
        <v>0</v>
      </c>
      <c r="O350" s="35">
        <v>0</v>
      </c>
      <c r="P350" s="29">
        <v>18</v>
      </c>
      <c r="Q350" s="36">
        <v>0</v>
      </c>
      <c r="R350" s="35">
        <v>0</v>
      </c>
      <c r="S350" s="35">
        <v>0</v>
      </c>
      <c r="T350" s="36">
        <v>0</v>
      </c>
      <c r="U350" s="35">
        <v>0</v>
      </c>
      <c r="V350" s="36">
        <v>0</v>
      </c>
      <c r="W350" s="36">
        <v>0</v>
      </c>
      <c r="X350" s="35">
        <v>0</v>
      </c>
      <c r="Y350" s="36">
        <v>0</v>
      </c>
      <c r="Z350" s="35">
        <v>0</v>
      </c>
      <c r="AA350" s="36">
        <v>0</v>
      </c>
      <c r="AB350" s="36">
        <v>0</v>
      </c>
      <c r="AC350" s="35">
        <v>0</v>
      </c>
    </row>
    <row r="351" spans="1:29" x14ac:dyDescent="0.3">
      <c r="A351" s="25" t="s">
        <v>442</v>
      </c>
      <c r="B351" s="24">
        <f t="shared" ref="B351:O351" si="0">SUM(B13:B350)</f>
        <v>3443</v>
      </c>
      <c r="C351" s="23">
        <f t="shared" si="0"/>
        <v>3070</v>
      </c>
      <c r="D351" s="24">
        <f t="shared" si="0"/>
        <v>4586</v>
      </c>
      <c r="E351" s="23">
        <f t="shared" si="0"/>
        <v>5286</v>
      </c>
      <c r="F351" s="23">
        <f t="shared" si="0"/>
        <v>14280</v>
      </c>
      <c r="G351" s="24">
        <f t="shared" si="0"/>
        <v>11880</v>
      </c>
      <c r="H351" s="23">
        <f t="shared" si="0"/>
        <v>8800</v>
      </c>
      <c r="I351" s="24">
        <f t="shared" si="0"/>
        <v>3170</v>
      </c>
      <c r="J351" s="23">
        <f t="shared" si="0"/>
        <v>16100</v>
      </c>
      <c r="K351" s="23">
        <f t="shared" si="0"/>
        <v>5552</v>
      </c>
      <c r="L351" s="24">
        <f t="shared" si="0"/>
        <v>8820</v>
      </c>
      <c r="M351" s="23">
        <f t="shared" si="0"/>
        <v>6300</v>
      </c>
      <c r="N351" s="24">
        <f t="shared" si="0"/>
        <v>4354</v>
      </c>
      <c r="O351" s="24">
        <f t="shared" si="0"/>
        <v>5953</v>
      </c>
      <c r="P351" s="24">
        <f t="shared" ref="P351:Q351" si="1">SUM(P13:P350)</f>
        <v>1546</v>
      </c>
      <c r="Q351" s="23">
        <f t="shared" si="1"/>
        <v>256</v>
      </c>
      <c r="R351" s="24">
        <f t="shared" ref="R351:AC351" si="2">SUM(R13:R350)</f>
        <v>282</v>
      </c>
      <c r="S351" s="24">
        <f t="shared" si="2"/>
        <v>1249</v>
      </c>
      <c r="T351" s="23">
        <f t="shared" si="2"/>
        <v>1819</v>
      </c>
      <c r="U351" s="24">
        <f t="shared" si="2"/>
        <v>3496</v>
      </c>
      <c r="V351" s="23">
        <f t="shared" si="2"/>
        <v>1223</v>
      </c>
      <c r="W351" s="23">
        <f t="shared" si="2"/>
        <v>1535</v>
      </c>
      <c r="X351" s="24">
        <f t="shared" si="2"/>
        <v>2140</v>
      </c>
      <c r="Y351" s="23">
        <f t="shared" si="2"/>
        <v>1773</v>
      </c>
      <c r="Z351" s="24">
        <f t="shared" si="2"/>
        <v>1963</v>
      </c>
      <c r="AA351" s="23">
        <f t="shared" si="2"/>
        <v>730</v>
      </c>
      <c r="AB351" s="23">
        <f t="shared" si="2"/>
        <v>1610</v>
      </c>
      <c r="AC351" s="24">
        <f t="shared" si="2"/>
        <v>2536</v>
      </c>
    </row>
    <row r="353" spans="1:29" x14ac:dyDescent="0.3">
      <c r="A353" s="21" t="s">
        <v>443</v>
      </c>
    </row>
    <row r="355" spans="1:29" x14ac:dyDescent="0.3">
      <c r="A355" s="21" t="s">
        <v>121</v>
      </c>
      <c r="B355" s="35">
        <v>0</v>
      </c>
      <c r="C355" s="36">
        <v>0</v>
      </c>
      <c r="D355" s="35">
        <v>0</v>
      </c>
      <c r="E355" s="36">
        <v>0</v>
      </c>
      <c r="F355" s="36">
        <v>0</v>
      </c>
      <c r="G355" s="35">
        <v>0</v>
      </c>
      <c r="H355" s="36">
        <v>0</v>
      </c>
      <c r="I355" s="35">
        <v>0</v>
      </c>
      <c r="J355" s="36">
        <v>0</v>
      </c>
      <c r="K355" s="36">
        <v>0</v>
      </c>
      <c r="L355" s="35">
        <v>0</v>
      </c>
      <c r="M355" s="36">
        <v>0</v>
      </c>
      <c r="N355" s="35">
        <v>0</v>
      </c>
      <c r="O355" s="35">
        <v>0</v>
      </c>
      <c r="P355" s="35">
        <v>0</v>
      </c>
      <c r="Q355" s="36">
        <v>0</v>
      </c>
      <c r="R355" s="35">
        <v>0</v>
      </c>
      <c r="S355" s="35">
        <v>0</v>
      </c>
      <c r="T355" s="36">
        <v>0</v>
      </c>
      <c r="U355" s="35">
        <v>0</v>
      </c>
      <c r="V355" s="36">
        <v>0</v>
      </c>
      <c r="W355" s="36">
        <v>0</v>
      </c>
      <c r="X355" s="35">
        <v>0</v>
      </c>
      <c r="Y355" s="36">
        <v>0</v>
      </c>
      <c r="Z355" s="35">
        <v>0</v>
      </c>
      <c r="AA355" s="36">
        <v>0</v>
      </c>
      <c r="AB355" s="36">
        <v>0</v>
      </c>
      <c r="AC355" s="35">
        <v>0</v>
      </c>
    </row>
    <row r="356" spans="1:29" x14ac:dyDescent="0.3">
      <c r="A356" s="21" t="s">
        <v>365</v>
      </c>
      <c r="B356" s="35">
        <v>0</v>
      </c>
      <c r="C356" s="36">
        <v>0</v>
      </c>
      <c r="D356" s="35">
        <v>0</v>
      </c>
      <c r="E356" s="36">
        <v>0</v>
      </c>
      <c r="F356" s="36">
        <v>0</v>
      </c>
      <c r="G356" s="35">
        <v>0</v>
      </c>
      <c r="H356" s="36">
        <v>0</v>
      </c>
      <c r="I356" s="35">
        <v>0</v>
      </c>
      <c r="J356" s="36">
        <v>0</v>
      </c>
      <c r="K356" s="36">
        <v>0</v>
      </c>
      <c r="L356" s="35">
        <v>0</v>
      </c>
      <c r="M356" s="36">
        <v>0</v>
      </c>
      <c r="N356" s="35">
        <v>0</v>
      </c>
      <c r="O356" s="35">
        <v>0</v>
      </c>
      <c r="P356" s="35">
        <v>0</v>
      </c>
      <c r="Q356" s="36">
        <v>0</v>
      </c>
      <c r="R356" s="35">
        <v>0</v>
      </c>
      <c r="S356" s="35">
        <v>0</v>
      </c>
      <c r="T356" s="36">
        <v>0</v>
      </c>
      <c r="U356" s="35">
        <v>0</v>
      </c>
      <c r="V356" s="36">
        <v>0</v>
      </c>
      <c r="W356" s="36">
        <v>0</v>
      </c>
      <c r="X356" s="35">
        <v>0</v>
      </c>
      <c r="Y356" s="36">
        <v>0</v>
      </c>
      <c r="Z356" s="35">
        <v>0</v>
      </c>
      <c r="AA356" s="36">
        <v>0</v>
      </c>
      <c r="AB356" s="36">
        <v>0</v>
      </c>
      <c r="AC356" s="35">
        <v>0</v>
      </c>
    </row>
    <row r="357" spans="1:29" x14ac:dyDescent="0.3">
      <c r="A357" s="21" t="s">
        <v>444</v>
      </c>
      <c r="B357" s="35">
        <v>0</v>
      </c>
      <c r="C357" s="36">
        <v>0</v>
      </c>
      <c r="D357" s="35">
        <v>0</v>
      </c>
      <c r="E357" s="36">
        <v>0</v>
      </c>
      <c r="F357" s="36">
        <v>0</v>
      </c>
      <c r="G357" s="35">
        <v>0</v>
      </c>
      <c r="H357" s="36">
        <v>0</v>
      </c>
      <c r="I357" s="35">
        <v>0</v>
      </c>
      <c r="J357" s="36">
        <v>0</v>
      </c>
      <c r="K357" s="36">
        <v>0</v>
      </c>
      <c r="L357" s="35">
        <v>0</v>
      </c>
      <c r="M357" s="36">
        <v>0</v>
      </c>
      <c r="N357" s="35">
        <v>0</v>
      </c>
      <c r="O357" s="35">
        <v>0</v>
      </c>
      <c r="P357" s="35">
        <v>0</v>
      </c>
      <c r="Q357" s="36">
        <v>0</v>
      </c>
      <c r="R357" s="35">
        <v>0</v>
      </c>
      <c r="S357" s="35">
        <v>0</v>
      </c>
      <c r="T357" s="36">
        <v>0</v>
      </c>
      <c r="U357" s="35">
        <v>0</v>
      </c>
      <c r="V357" s="34">
        <v>4</v>
      </c>
      <c r="W357" s="36">
        <v>0</v>
      </c>
      <c r="X357" s="35">
        <v>0</v>
      </c>
      <c r="Y357" s="36">
        <v>0</v>
      </c>
      <c r="Z357" s="29">
        <v>6</v>
      </c>
      <c r="AA357" s="36">
        <v>0</v>
      </c>
      <c r="AB357" s="36">
        <v>0</v>
      </c>
      <c r="AC357" s="35">
        <v>0</v>
      </c>
    </row>
    <row r="358" spans="1:29" x14ac:dyDescent="0.3">
      <c r="A358" s="21" t="s">
        <v>445</v>
      </c>
      <c r="B358" s="35">
        <v>0</v>
      </c>
      <c r="C358" s="36">
        <v>0</v>
      </c>
      <c r="D358" s="35">
        <v>0</v>
      </c>
      <c r="E358" s="36">
        <v>0</v>
      </c>
      <c r="F358" s="36">
        <v>0</v>
      </c>
      <c r="G358" s="35">
        <v>0</v>
      </c>
      <c r="H358" s="36">
        <v>0</v>
      </c>
      <c r="I358" s="35">
        <v>0</v>
      </c>
      <c r="J358" s="36">
        <v>0</v>
      </c>
      <c r="K358" s="36">
        <v>0</v>
      </c>
      <c r="L358" s="35">
        <v>0</v>
      </c>
      <c r="M358" s="36">
        <v>0</v>
      </c>
      <c r="N358" s="35">
        <v>0</v>
      </c>
      <c r="O358" s="35">
        <v>0</v>
      </c>
      <c r="P358" s="35">
        <v>0</v>
      </c>
      <c r="Q358" s="36">
        <v>0</v>
      </c>
      <c r="R358" s="35">
        <v>0</v>
      </c>
      <c r="S358" s="35">
        <v>0</v>
      </c>
      <c r="T358" s="36">
        <v>0</v>
      </c>
      <c r="U358" s="35">
        <v>0</v>
      </c>
      <c r="V358" s="36">
        <v>0</v>
      </c>
      <c r="W358" s="36">
        <v>0</v>
      </c>
      <c r="X358" s="35">
        <v>0</v>
      </c>
      <c r="Y358" s="36">
        <v>0</v>
      </c>
      <c r="Z358" s="35">
        <v>0</v>
      </c>
      <c r="AA358" s="36">
        <v>0</v>
      </c>
      <c r="AB358" s="36">
        <v>0</v>
      </c>
      <c r="AC358" s="35">
        <v>0</v>
      </c>
    </row>
    <row r="359" spans="1:29" x14ac:dyDescent="0.3">
      <c r="A359" s="21" t="s">
        <v>446</v>
      </c>
      <c r="B359" s="35">
        <v>0</v>
      </c>
      <c r="C359" s="36">
        <v>0</v>
      </c>
      <c r="D359" s="35">
        <v>0</v>
      </c>
      <c r="E359" s="36">
        <v>0</v>
      </c>
      <c r="F359" s="36">
        <v>0</v>
      </c>
      <c r="G359" s="35">
        <v>0</v>
      </c>
      <c r="H359" s="36">
        <v>0</v>
      </c>
      <c r="I359" s="35">
        <v>0</v>
      </c>
      <c r="J359" s="36">
        <v>0</v>
      </c>
      <c r="K359" s="36">
        <v>0</v>
      </c>
      <c r="L359" s="35">
        <v>0</v>
      </c>
      <c r="M359" s="36">
        <v>0</v>
      </c>
      <c r="N359" s="35">
        <v>0</v>
      </c>
      <c r="O359" s="35">
        <v>0</v>
      </c>
      <c r="P359" s="35">
        <v>0</v>
      </c>
      <c r="Q359" s="36">
        <v>0</v>
      </c>
      <c r="R359" s="35">
        <v>0</v>
      </c>
      <c r="S359" s="35">
        <v>0</v>
      </c>
      <c r="T359" s="36">
        <v>0</v>
      </c>
      <c r="U359" s="35">
        <v>0</v>
      </c>
      <c r="V359" s="36">
        <v>0</v>
      </c>
      <c r="W359" s="36">
        <v>0</v>
      </c>
      <c r="X359" s="35">
        <v>0</v>
      </c>
      <c r="Y359" s="36">
        <v>0</v>
      </c>
      <c r="Z359" s="35">
        <v>0</v>
      </c>
      <c r="AA359" s="36">
        <v>0</v>
      </c>
      <c r="AB359" s="36">
        <v>0</v>
      </c>
      <c r="AC359" s="35">
        <v>0</v>
      </c>
    </row>
    <row r="360" spans="1:29" x14ac:dyDescent="0.3">
      <c r="A360" s="21" t="s">
        <v>447</v>
      </c>
      <c r="B360" s="35">
        <v>0</v>
      </c>
      <c r="C360" s="36">
        <v>0</v>
      </c>
      <c r="D360" s="35">
        <v>0</v>
      </c>
      <c r="E360" s="36">
        <v>0</v>
      </c>
      <c r="F360" s="36">
        <v>0</v>
      </c>
      <c r="G360" s="35">
        <v>0</v>
      </c>
      <c r="H360" s="36">
        <v>0</v>
      </c>
      <c r="I360" s="35">
        <v>0</v>
      </c>
      <c r="J360" s="36">
        <v>0</v>
      </c>
      <c r="K360" s="36">
        <v>0</v>
      </c>
      <c r="L360" s="35">
        <v>0</v>
      </c>
      <c r="M360" s="36">
        <v>0</v>
      </c>
      <c r="N360" s="35">
        <v>0</v>
      </c>
      <c r="O360" s="35">
        <v>0</v>
      </c>
      <c r="P360" s="35">
        <v>0</v>
      </c>
      <c r="Q360" s="36">
        <v>0</v>
      </c>
      <c r="R360" s="35">
        <v>0</v>
      </c>
      <c r="S360" s="35">
        <v>0</v>
      </c>
      <c r="T360" s="36">
        <v>0</v>
      </c>
      <c r="U360" s="35">
        <v>0</v>
      </c>
      <c r="V360" s="36">
        <v>0</v>
      </c>
      <c r="W360" s="36">
        <v>0</v>
      </c>
      <c r="X360" s="35">
        <v>0</v>
      </c>
      <c r="Y360" s="36">
        <v>0</v>
      </c>
      <c r="Z360" s="35">
        <v>0</v>
      </c>
      <c r="AA360" s="36">
        <v>0</v>
      </c>
      <c r="AB360" s="36">
        <v>0</v>
      </c>
      <c r="AC360" s="35">
        <v>0</v>
      </c>
    </row>
    <row r="361" spans="1:29" x14ac:dyDescent="0.3">
      <c r="A361" s="27" t="s">
        <v>448</v>
      </c>
      <c r="B361" s="35">
        <v>0</v>
      </c>
      <c r="C361" s="36">
        <v>0</v>
      </c>
      <c r="D361" s="35">
        <v>0</v>
      </c>
      <c r="E361" s="36">
        <v>0</v>
      </c>
      <c r="F361" s="36">
        <v>0</v>
      </c>
      <c r="G361" s="35">
        <v>0</v>
      </c>
      <c r="H361" s="36">
        <v>0</v>
      </c>
      <c r="I361" s="35">
        <v>0</v>
      </c>
      <c r="J361" s="36">
        <v>0</v>
      </c>
      <c r="K361" s="36">
        <v>0</v>
      </c>
      <c r="L361" s="35">
        <v>0</v>
      </c>
      <c r="M361" s="36">
        <v>0</v>
      </c>
      <c r="N361" s="35">
        <v>0</v>
      </c>
      <c r="O361" s="35">
        <v>0</v>
      </c>
      <c r="P361" s="35">
        <v>0</v>
      </c>
      <c r="Q361" s="36">
        <v>0</v>
      </c>
      <c r="R361" s="35">
        <v>0</v>
      </c>
      <c r="S361" s="35">
        <v>0</v>
      </c>
      <c r="T361" s="36">
        <v>0</v>
      </c>
      <c r="U361" s="35">
        <v>0</v>
      </c>
      <c r="V361" s="36">
        <v>0</v>
      </c>
      <c r="W361" s="36">
        <v>0</v>
      </c>
      <c r="X361" s="35">
        <v>0</v>
      </c>
      <c r="Y361" s="36">
        <v>0</v>
      </c>
      <c r="Z361" s="35">
        <v>0</v>
      </c>
      <c r="AA361" s="36">
        <v>0</v>
      </c>
      <c r="AB361" s="36">
        <v>0</v>
      </c>
      <c r="AC361" s="35">
        <v>0</v>
      </c>
    </row>
    <row r="362" spans="1:29" x14ac:dyDescent="0.3">
      <c r="A362" s="21" t="s">
        <v>119</v>
      </c>
      <c r="B362" s="35">
        <v>0</v>
      </c>
      <c r="C362" s="36">
        <v>0</v>
      </c>
      <c r="D362" s="35">
        <v>0</v>
      </c>
      <c r="E362" s="36">
        <v>0</v>
      </c>
      <c r="F362" s="36">
        <v>0</v>
      </c>
      <c r="G362" s="35">
        <v>0</v>
      </c>
      <c r="H362" s="36">
        <v>0</v>
      </c>
      <c r="I362" s="35">
        <v>0</v>
      </c>
      <c r="J362" s="36">
        <v>0</v>
      </c>
      <c r="K362" s="36">
        <v>0</v>
      </c>
      <c r="L362" s="35">
        <v>0</v>
      </c>
      <c r="M362" s="36">
        <v>0</v>
      </c>
      <c r="N362" s="35">
        <v>0</v>
      </c>
      <c r="O362" s="35">
        <v>0</v>
      </c>
      <c r="P362" s="35">
        <v>0</v>
      </c>
      <c r="Q362" s="36">
        <v>0</v>
      </c>
      <c r="R362" s="35">
        <v>0</v>
      </c>
      <c r="S362" s="35">
        <v>0</v>
      </c>
      <c r="T362" s="36">
        <v>0</v>
      </c>
      <c r="U362" s="35">
        <v>0</v>
      </c>
      <c r="V362" s="36">
        <v>0</v>
      </c>
      <c r="W362" s="36">
        <v>0</v>
      </c>
      <c r="X362" s="35">
        <v>0</v>
      </c>
      <c r="Y362" s="36">
        <v>0</v>
      </c>
      <c r="Z362" s="35">
        <v>0</v>
      </c>
      <c r="AA362" s="36">
        <v>0</v>
      </c>
      <c r="AB362" s="36">
        <v>0</v>
      </c>
      <c r="AC362" s="35">
        <v>0</v>
      </c>
    </row>
    <row r="363" spans="1:29" ht="15" thickBot="1" x14ac:dyDescent="0.35">
      <c r="A363" s="21" t="s">
        <v>449</v>
      </c>
      <c r="B363" s="35">
        <v>0</v>
      </c>
      <c r="C363" s="34">
        <v>10</v>
      </c>
      <c r="D363" s="29">
        <v>14</v>
      </c>
      <c r="E363" s="36">
        <v>0</v>
      </c>
      <c r="F363" s="36">
        <v>0</v>
      </c>
      <c r="G363" s="29">
        <v>20</v>
      </c>
      <c r="H363" s="34">
        <v>20</v>
      </c>
      <c r="I363" s="29">
        <v>10</v>
      </c>
      <c r="J363" s="36">
        <v>0</v>
      </c>
      <c r="K363" s="36">
        <v>0</v>
      </c>
      <c r="L363" s="29">
        <v>20</v>
      </c>
      <c r="M363" s="36">
        <v>0</v>
      </c>
      <c r="N363" s="29">
        <v>13</v>
      </c>
      <c r="O363" s="29">
        <v>17</v>
      </c>
      <c r="P363" s="35">
        <v>0</v>
      </c>
      <c r="Q363" s="34">
        <v>1</v>
      </c>
      <c r="R363" s="35">
        <v>0</v>
      </c>
      <c r="S363" s="35">
        <v>0</v>
      </c>
      <c r="T363" s="34">
        <v>5</v>
      </c>
      <c r="U363" s="35">
        <v>0</v>
      </c>
      <c r="V363" s="36">
        <v>0</v>
      </c>
      <c r="W363" s="36">
        <v>0</v>
      </c>
      <c r="X363" s="35">
        <v>0</v>
      </c>
      <c r="Y363" s="36">
        <v>0</v>
      </c>
      <c r="Z363" s="29">
        <v>6</v>
      </c>
      <c r="AA363" s="36">
        <v>0</v>
      </c>
      <c r="AB363" s="36">
        <v>0</v>
      </c>
      <c r="AC363" s="35">
        <v>0</v>
      </c>
    </row>
    <row r="364" spans="1:29" x14ac:dyDescent="0.3">
      <c r="A364" s="25" t="s">
        <v>442</v>
      </c>
      <c r="B364" s="24">
        <f t="shared" ref="B364:O364" si="3">SUM(B355:B363)</f>
        <v>0</v>
      </c>
      <c r="C364" s="23">
        <f t="shared" si="3"/>
        <v>10</v>
      </c>
      <c r="D364" s="24">
        <f t="shared" si="3"/>
        <v>14</v>
      </c>
      <c r="E364" s="23">
        <f t="shared" si="3"/>
        <v>0</v>
      </c>
      <c r="F364" s="23">
        <f t="shared" si="3"/>
        <v>0</v>
      </c>
      <c r="G364" s="24">
        <f t="shared" si="3"/>
        <v>20</v>
      </c>
      <c r="H364" s="23">
        <f t="shared" si="3"/>
        <v>20</v>
      </c>
      <c r="I364" s="24">
        <f t="shared" si="3"/>
        <v>10</v>
      </c>
      <c r="J364" s="23">
        <f t="shared" si="3"/>
        <v>0</v>
      </c>
      <c r="K364" s="23">
        <f t="shared" si="3"/>
        <v>0</v>
      </c>
      <c r="L364" s="24">
        <f t="shared" si="3"/>
        <v>20</v>
      </c>
      <c r="M364" s="23">
        <f t="shared" si="3"/>
        <v>0</v>
      </c>
      <c r="N364" s="24">
        <f t="shared" si="3"/>
        <v>13</v>
      </c>
      <c r="O364" s="24">
        <f t="shared" si="3"/>
        <v>17</v>
      </c>
      <c r="P364" s="24">
        <f t="shared" ref="P364:Q364" si="4">SUM(P355:P363)</f>
        <v>0</v>
      </c>
      <c r="Q364" s="23">
        <f t="shared" si="4"/>
        <v>1</v>
      </c>
      <c r="R364" s="24">
        <f t="shared" ref="R364:AC364" si="5">SUM(R355:R363)</f>
        <v>0</v>
      </c>
      <c r="S364" s="24">
        <f t="shared" si="5"/>
        <v>0</v>
      </c>
      <c r="T364" s="23">
        <f t="shared" si="5"/>
        <v>5</v>
      </c>
      <c r="U364" s="24">
        <f t="shared" si="5"/>
        <v>0</v>
      </c>
      <c r="V364" s="23">
        <f t="shared" si="5"/>
        <v>4</v>
      </c>
      <c r="W364" s="23">
        <f t="shared" si="5"/>
        <v>0</v>
      </c>
      <c r="X364" s="24">
        <f t="shared" si="5"/>
        <v>0</v>
      </c>
      <c r="Y364" s="23">
        <f t="shared" si="5"/>
        <v>0</v>
      </c>
      <c r="Z364" s="24">
        <f t="shared" si="5"/>
        <v>12</v>
      </c>
      <c r="AA364" s="23">
        <f t="shared" si="5"/>
        <v>0</v>
      </c>
      <c r="AB364" s="23">
        <f t="shared" si="5"/>
        <v>0</v>
      </c>
      <c r="AC364" s="24">
        <f t="shared" si="5"/>
        <v>0</v>
      </c>
    </row>
  </sheetData>
  <phoneticPr fontId="0" type="noConversion"/>
  <hyperlinks>
    <hyperlink ref="A5" r:id="rId1" xr:uid="{00000000-0004-0000-0000-000000000000}"/>
  </hyperlinks>
  <pageMargins left="0.7" right="0.7" top="0.75" bottom="0.75" header="0.3" footer="0.3"/>
  <pageSetup orientation="landscape" horizontalDpi="200" verticalDpi="200"/>
  <drawing r:id="rId2"/>
  <legacyDrawing r:id="rId3"/>
  <oleObjects>
    <mc:AlternateContent xmlns:mc="http://schemas.openxmlformats.org/markup-compatibility/2006">
      <mc:Choice Requires="x14">
        <oleObject progId="PhotoshopElements.Image.2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1341120</xdr:colOff>
                <xdr:row>1</xdr:row>
                <xdr:rowOff>0</xdr:rowOff>
              </to>
            </anchor>
          </objectPr>
        </oleObject>
      </mc:Choice>
      <mc:Fallback>
        <oleObject progId="PhotoshopElements.Image.2" shapeId="1026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9"/>
  <sheetViews>
    <sheetView showZeros="0" topLeftCell="A10" workbookViewId="0">
      <selection activeCell="AE12" sqref="AE12"/>
    </sheetView>
  </sheetViews>
  <sheetFormatPr defaultColWidth="8.88671875" defaultRowHeight="14.4" x14ac:dyDescent="0.3"/>
  <cols>
    <col min="1" max="1" width="31.6640625" customWidth="1"/>
    <col min="2" max="73" width="18.6640625" customWidth="1"/>
  </cols>
  <sheetData>
    <row r="1" spans="1:29" ht="42" customHeight="1" x14ac:dyDescent="0.3">
      <c r="A1" s="7"/>
    </row>
    <row r="2" spans="1:29" x14ac:dyDescent="0.3">
      <c r="A2" s="7" t="s">
        <v>85</v>
      </c>
    </row>
    <row r="3" spans="1:29" x14ac:dyDescent="0.3">
      <c r="A3" s="7" t="s">
        <v>86</v>
      </c>
    </row>
    <row r="4" spans="1:29" x14ac:dyDescent="0.3">
      <c r="A4" s="7" t="s">
        <v>65</v>
      </c>
    </row>
    <row r="5" spans="1:29" x14ac:dyDescent="0.3">
      <c r="A5" s="8" t="s">
        <v>62</v>
      </c>
    </row>
    <row r="6" spans="1:29" x14ac:dyDescent="0.3">
      <c r="A6" s="7" t="s">
        <v>63</v>
      </c>
    </row>
    <row r="7" spans="1:29" x14ac:dyDescent="0.3">
      <c r="A7" s="9"/>
    </row>
    <row r="8" spans="1:29" x14ac:dyDescent="0.3">
      <c r="A8" s="11"/>
    </row>
    <row r="9" spans="1:29" x14ac:dyDescent="0.3">
      <c r="A9" s="10" t="s">
        <v>66</v>
      </c>
      <c r="B9" t="s">
        <v>87</v>
      </c>
      <c r="C9" t="s">
        <v>87</v>
      </c>
      <c r="D9" t="s">
        <v>87</v>
      </c>
      <c r="E9" t="s">
        <v>87</v>
      </c>
      <c r="F9" t="s">
        <v>87</v>
      </c>
      <c r="G9" t="s">
        <v>87</v>
      </c>
      <c r="H9" t="s">
        <v>87</v>
      </c>
      <c r="I9" t="s">
        <v>87</v>
      </c>
      <c r="J9" t="s">
        <v>87</v>
      </c>
      <c r="K9" t="s">
        <v>87</v>
      </c>
      <c r="L9" t="s">
        <v>87</v>
      </c>
      <c r="M9" t="s">
        <v>87</v>
      </c>
      <c r="N9" t="s">
        <v>87</v>
      </c>
      <c r="O9" t="s">
        <v>87</v>
      </c>
      <c r="P9" t="s">
        <v>88</v>
      </c>
      <c r="Q9" t="s">
        <v>88</v>
      </c>
      <c r="R9" t="s">
        <v>88</v>
      </c>
      <c r="S9" t="s">
        <v>88</v>
      </c>
      <c r="T9" t="s">
        <v>88</v>
      </c>
      <c r="U9" t="s">
        <v>88</v>
      </c>
      <c r="V9" t="s">
        <v>88</v>
      </c>
      <c r="W9" t="s">
        <v>88</v>
      </c>
      <c r="X9" t="s">
        <v>88</v>
      </c>
      <c r="Y9" t="s">
        <v>88</v>
      </c>
      <c r="Z9" t="s">
        <v>88</v>
      </c>
      <c r="AA9" t="s">
        <v>88</v>
      </c>
      <c r="AB9" t="s">
        <v>89</v>
      </c>
      <c r="AC9" t="s">
        <v>89</v>
      </c>
    </row>
    <row r="10" spans="1:29" x14ac:dyDescent="0.3">
      <c r="A10" s="10" t="s">
        <v>67</v>
      </c>
      <c r="B10">
        <v>2</v>
      </c>
      <c r="C10">
        <v>2</v>
      </c>
      <c r="D10">
        <v>2</v>
      </c>
      <c r="E10">
        <v>2</v>
      </c>
      <c r="F10">
        <v>2</v>
      </c>
      <c r="G10">
        <v>4</v>
      </c>
      <c r="H10">
        <v>4</v>
      </c>
      <c r="I10">
        <v>4</v>
      </c>
      <c r="J10">
        <v>4</v>
      </c>
      <c r="K10">
        <v>4</v>
      </c>
      <c r="L10">
        <v>5</v>
      </c>
      <c r="M10">
        <v>5</v>
      </c>
      <c r="N10">
        <v>5</v>
      </c>
      <c r="O10">
        <v>5</v>
      </c>
      <c r="P10">
        <v>1</v>
      </c>
      <c r="Q10">
        <v>1</v>
      </c>
      <c r="R10">
        <v>1</v>
      </c>
      <c r="S10">
        <v>7</v>
      </c>
      <c r="T10">
        <v>7</v>
      </c>
      <c r="U10">
        <v>7</v>
      </c>
      <c r="V10">
        <v>7</v>
      </c>
      <c r="W10">
        <v>10</v>
      </c>
      <c r="X10">
        <v>10</v>
      </c>
      <c r="Y10">
        <v>10</v>
      </c>
      <c r="Z10">
        <v>10</v>
      </c>
      <c r="AA10">
        <v>10</v>
      </c>
      <c r="AB10" t="s">
        <v>90</v>
      </c>
      <c r="AC10" t="s">
        <v>90</v>
      </c>
    </row>
    <row r="11" spans="1:29" x14ac:dyDescent="0.3">
      <c r="A11" s="10" t="s">
        <v>69</v>
      </c>
      <c r="B11" t="s">
        <v>91</v>
      </c>
      <c r="C11" t="s">
        <v>92</v>
      </c>
      <c r="D11" t="s">
        <v>93</v>
      </c>
      <c r="E11" t="s">
        <v>94</v>
      </c>
      <c r="F11" t="s">
        <v>95</v>
      </c>
      <c r="G11" t="s">
        <v>96</v>
      </c>
      <c r="H11" t="s">
        <v>97</v>
      </c>
      <c r="I11" t="s">
        <v>98</v>
      </c>
      <c r="J11" t="s">
        <v>99</v>
      </c>
      <c r="K11" t="s">
        <v>100</v>
      </c>
      <c r="L11" t="s">
        <v>101</v>
      </c>
      <c r="M11" t="s">
        <v>102</v>
      </c>
      <c r="N11" t="s">
        <v>103</v>
      </c>
      <c r="O11" t="s">
        <v>104</v>
      </c>
      <c r="P11" t="s">
        <v>105</v>
      </c>
      <c r="Q11" t="s">
        <v>106</v>
      </c>
      <c r="R11" t="s">
        <v>107</v>
      </c>
      <c r="S11" t="s">
        <v>108</v>
      </c>
      <c r="T11" t="s">
        <v>109</v>
      </c>
      <c r="U11" t="s">
        <v>110</v>
      </c>
      <c r="V11" t="s">
        <v>111</v>
      </c>
      <c r="W11" t="s">
        <v>112</v>
      </c>
      <c r="X11" t="s">
        <v>113</v>
      </c>
      <c r="Y11" t="s">
        <v>114</v>
      </c>
      <c r="Z11" t="s">
        <v>115</v>
      </c>
      <c r="AA11" t="s">
        <v>116</v>
      </c>
      <c r="AB11" t="s">
        <v>117</v>
      </c>
      <c r="AC11" t="s">
        <v>118</v>
      </c>
    </row>
    <row r="12" spans="1:29" x14ac:dyDescent="0.3">
      <c r="A12" s="10" t="s">
        <v>68</v>
      </c>
      <c r="B12" t="s">
        <v>119</v>
      </c>
      <c r="C12" t="s">
        <v>119</v>
      </c>
      <c r="D12" t="s">
        <v>119</v>
      </c>
      <c r="E12" t="s">
        <v>119</v>
      </c>
      <c r="F12" t="s">
        <v>119</v>
      </c>
      <c r="G12" t="s">
        <v>119</v>
      </c>
      <c r="H12" t="s">
        <v>119</v>
      </c>
      <c r="I12" t="s">
        <v>119</v>
      </c>
      <c r="J12" t="s">
        <v>119</v>
      </c>
      <c r="K12" t="s">
        <v>119</v>
      </c>
      <c r="L12" t="s">
        <v>119</v>
      </c>
      <c r="M12" t="s">
        <v>119</v>
      </c>
      <c r="N12" t="s">
        <v>119</v>
      </c>
      <c r="O12" t="s">
        <v>119</v>
      </c>
      <c r="P12" t="s">
        <v>119</v>
      </c>
      <c r="Q12" t="s">
        <v>119</v>
      </c>
      <c r="R12" t="s">
        <v>119</v>
      </c>
      <c r="S12" t="s">
        <v>119</v>
      </c>
      <c r="T12" t="s">
        <v>119</v>
      </c>
      <c r="U12" t="s">
        <v>119</v>
      </c>
      <c r="V12" t="s">
        <v>119</v>
      </c>
      <c r="W12" t="s">
        <v>119</v>
      </c>
      <c r="X12" t="s">
        <v>119</v>
      </c>
      <c r="Y12" t="s">
        <v>119</v>
      </c>
      <c r="Z12" t="s">
        <v>119</v>
      </c>
      <c r="AA12" t="s">
        <v>119</v>
      </c>
      <c r="AB12" t="s">
        <v>119</v>
      </c>
      <c r="AC12" t="s">
        <v>119</v>
      </c>
    </row>
    <row r="13" spans="1:29" x14ac:dyDescent="0.3">
      <c r="A13" s="1" t="s">
        <v>13</v>
      </c>
    </row>
    <row r="14" spans="1:29" x14ac:dyDescent="0.3">
      <c r="A14" s="2" t="s">
        <v>14</v>
      </c>
      <c r="B14">
        <v>31</v>
      </c>
      <c r="C14">
        <v>40</v>
      </c>
      <c r="D14">
        <v>50</v>
      </c>
      <c r="E14">
        <v>45</v>
      </c>
      <c r="F14">
        <v>46</v>
      </c>
      <c r="G14">
        <v>29</v>
      </c>
      <c r="H14">
        <v>41</v>
      </c>
      <c r="I14">
        <v>35</v>
      </c>
      <c r="J14">
        <v>51</v>
      </c>
      <c r="K14">
        <v>35</v>
      </c>
      <c r="L14">
        <v>44</v>
      </c>
      <c r="M14">
        <v>40</v>
      </c>
      <c r="N14">
        <v>55</v>
      </c>
      <c r="O14">
        <v>38</v>
      </c>
      <c r="P14">
        <v>35</v>
      </c>
      <c r="Q14">
        <v>29</v>
      </c>
      <c r="R14">
        <v>29</v>
      </c>
      <c r="S14">
        <v>41</v>
      </c>
      <c r="T14">
        <v>44</v>
      </c>
      <c r="U14">
        <v>59</v>
      </c>
      <c r="V14">
        <v>35</v>
      </c>
      <c r="W14">
        <v>37</v>
      </c>
      <c r="X14">
        <v>53</v>
      </c>
      <c r="Y14">
        <v>33</v>
      </c>
      <c r="Z14">
        <v>50</v>
      </c>
      <c r="AA14">
        <v>26</v>
      </c>
      <c r="AB14">
        <v>42</v>
      </c>
      <c r="AC14">
        <v>49</v>
      </c>
    </row>
    <row r="15" spans="1:29" x14ac:dyDescent="0.3">
      <c r="A15" s="2" t="s">
        <v>15</v>
      </c>
      <c r="B15">
        <f t="shared" ref="B15:O15" si="0">(B16+B17+B18)</f>
        <v>17</v>
      </c>
      <c r="C15">
        <f t="shared" si="0"/>
        <v>15</v>
      </c>
      <c r="D15">
        <f t="shared" si="0"/>
        <v>16</v>
      </c>
      <c r="E15">
        <f t="shared" si="0"/>
        <v>17</v>
      </c>
      <c r="F15">
        <f t="shared" si="0"/>
        <v>18</v>
      </c>
      <c r="G15">
        <f t="shared" si="0"/>
        <v>9</v>
      </c>
      <c r="H15">
        <f t="shared" si="0"/>
        <v>17</v>
      </c>
      <c r="I15">
        <f t="shared" si="0"/>
        <v>10</v>
      </c>
      <c r="J15">
        <f t="shared" si="0"/>
        <v>17</v>
      </c>
      <c r="K15">
        <f t="shared" si="0"/>
        <v>11</v>
      </c>
      <c r="L15">
        <f t="shared" si="0"/>
        <v>23</v>
      </c>
      <c r="M15">
        <f t="shared" si="0"/>
        <v>23</v>
      </c>
      <c r="N15">
        <f t="shared" si="0"/>
        <v>29</v>
      </c>
      <c r="O15">
        <f t="shared" si="0"/>
        <v>18</v>
      </c>
      <c r="P15">
        <f t="shared" ref="P15:Q15" si="1">(P16+P17+P18)</f>
        <v>13</v>
      </c>
      <c r="Q15">
        <f t="shared" si="1"/>
        <v>10</v>
      </c>
      <c r="R15">
        <f t="shared" ref="R15:AC15" si="2">(R16+R17+R18)</f>
        <v>15</v>
      </c>
      <c r="S15">
        <f t="shared" si="2"/>
        <v>13</v>
      </c>
      <c r="T15">
        <f t="shared" si="2"/>
        <v>18</v>
      </c>
      <c r="U15">
        <f t="shared" si="2"/>
        <v>26</v>
      </c>
      <c r="V15">
        <f t="shared" si="2"/>
        <v>18</v>
      </c>
      <c r="W15">
        <f t="shared" si="2"/>
        <v>16</v>
      </c>
      <c r="X15">
        <f t="shared" si="2"/>
        <v>23</v>
      </c>
      <c r="Y15">
        <f t="shared" si="2"/>
        <v>13</v>
      </c>
      <c r="Z15">
        <f t="shared" si="2"/>
        <v>25</v>
      </c>
      <c r="AA15">
        <f t="shared" si="2"/>
        <v>17</v>
      </c>
      <c r="AB15">
        <f t="shared" si="2"/>
        <v>16</v>
      </c>
      <c r="AC15">
        <f t="shared" si="2"/>
        <v>19</v>
      </c>
    </row>
    <row r="16" spans="1:29" x14ac:dyDescent="0.3">
      <c r="A16" s="2" t="s">
        <v>16</v>
      </c>
      <c r="B16">
        <v>10</v>
      </c>
      <c r="C16">
        <v>10</v>
      </c>
      <c r="D16">
        <v>8</v>
      </c>
      <c r="E16">
        <v>10</v>
      </c>
      <c r="F16">
        <v>11</v>
      </c>
      <c r="G16">
        <v>7</v>
      </c>
      <c r="H16">
        <v>11</v>
      </c>
      <c r="I16">
        <v>8</v>
      </c>
      <c r="J16">
        <v>10</v>
      </c>
      <c r="K16">
        <v>6</v>
      </c>
      <c r="L16">
        <v>11</v>
      </c>
      <c r="M16">
        <v>9</v>
      </c>
      <c r="N16">
        <v>11</v>
      </c>
      <c r="O16">
        <v>8</v>
      </c>
      <c r="P16">
        <v>9</v>
      </c>
      <c r="Q16">
        <v>8</v>
      </c>
      <c r="R16">
        <v>9</v>
      </c>
      <c r="S16">
        <v>5</v>
      </c>
      <c r="T16">
        <v>8</v>
      </c>
      <c r="U16">
        <v>11</v>
      </c>
      <c r="V16">
        <v>7</v>
      </c>
      <c r="W16">
        <v>7</v>
      </c>
      <c r="X16">
        <v>16</v>
      </c>
      <c r="Y16">
        <v>6</v>
      </c>
      <c r="Z16">
        <v>9</v>
      </c>
      <c r="AA16">
        <v>8</v>
      </c>
      <c r="AB16">
        <v>7</v>
      </c>
      <c r="AC16">
        <v>11</v>
      </c>
    </row>
    <row r="17" spans="1:29" x14ac:dyDescent="0.3">
      <c r="A17" s="2" t="s">
        <v>17</v>
      </c>
      <c r="B17">
        <v>5</v>
      </c>
      <c r="C17">
        <v>0</v>
      </c>
      <c r="D17">
        <v>2</v>
      </c>
      <c r="E17">
        <v>2</v>
      </c>
      <c r="F17">
        <v>3</v>
      </c>
      <c r="G17">
        <v>1</v>
      </c>
      <c r="H17">
        <v>0</v>
      </c>
      <c r="I17">
        <v>0</v>
      </c>
      <c r="J17">
        <v>2</v>
      </c>
      <c r="K17">
        <v>3</v>
      </c>
      <c r="L17">
        <v>4</v>
      </c>
      <c r="M17">
        <v>2</v>
      </c>
      <c r="N17">
        <v>3</v>
      </c>
      <c r="O17">
        <v>3</v>
      </c>
      <c r="P17">
        <v>1</v>
      </c>
      <c r="Q17">
        <v>0</v>
      </c>
      <c r="R17">
        <v>3</v>
      </c>
      <c r="S17">
        <v>2</v>
      </c>
      <c r="T17">
        <v>3</v>
      </c>
      <c r="U17">
        <v>7</v>
      </c>
      <c r="V17">
        <v>3</v>
      </c>
      <c r="W17">
        <v>3</v>
      </c>
      <c r="X17">
        <v>2</v>
      </c>
      <c r="Y17">
        <v>2</v>
      </c>
      <c r="Z17">
        <v>7</v>
      </c>
      <c r="AA17">
        <v>5</v>
      </c>
      <c r="AB17">
        <v>2</v>
      </c>
      <c r="AC17">
        <v>2</v>
      </c>
    </row>
    <row r="18" spans="1:29" x14ac:dyDescent="0.3">
      <c r="A18" s="2" t="s">
        <v>18</v>
      </c>
      <c r="B18">
        <v>2</v>
      </c>
      <c r="C18">
        <v>5</v>
      </c>
      <c r="D18">
        <v>6</v>
      </c>
      <c r="E18">
        <v>5</v>
      </c>
      <c r="F18">
        <v>4</v>
      </c>
      <c r="G18">
        <v>1</v>
      </c>
      <c r="H18">
        <v>6</v>
      </c>
      <c r="I18">
        <v>2</v>
      </c>
      <c r="J18">
        <v>5</v>
      </c>
      <c r="K18">
        <v>2</v>
      </c>
      <c r="L18">
        <v>8</v>
      </c>
      <c r="M18">
        <v>12</v>
      </c>
      <c r="N18">
        <v>15</v>
      </c>
      <c r="O18">
        <v>7</v>
      </c>
      <c r="P18">
        <v>3</v>
      </c>
      <c r="Q18">
        <v>2</v>
      </c>
      <c r="R18">
        <v>3</v>
      </c>
      <c r="S18">
        <v>6</v>
      </c>
      <c r="T18">
        <v>7</v>
      </c>
      <c r="U18">
        <v>8</v>
      </c>
      <c r="V18">
        <v>8</v>
      </c>
      <c r="W18">
        <v>6</v>
      </c>
      <c r="X18">
        <v>5</v>
      </c>
      <c r="Y18">
        <v>5</v>
      </c>
      <c r="Z18">
        <v>9</v>
      </c>
      <c r="AA18">
        <v>4</v>
      </c>
      <c r="AB18">
        <v>7</v>
      </c>
      <c r="AC18">
        <v>6</v>
      </c>
    </row>
    <row r="19" spans="1:29" x14ac:dyDescent="0.3">
      <c r="A19" s="2" t="s">
        <v>19</v>
      </c>
      <c r="B19">
        <v>6</v>
      </c>
      <c r="C19">
        <v>12</v>
      </c>
      <c r="D19">
        <v>12</v>
      </c>
      <c r="E19">
        <v>9</v>
      </c>
      <c r="F19">
        <v>9</v>
      </c>
      <c r="G19">
        <v>9</v>
      </c>
      <c r="H19">
        <v>9</v>
      </c>
      <c r="I19">
        <v>8</v>
      </c>
      <c r="J19">
        <v>8</v>
      </c>
      <c r="K19">
        <v>7</v>
      </c>
      <c r="L19">
        <v>8</v>
      </c>
      <c r="M19">
        <v>5</v>
      </c>
      <c r="N19">
        <v>11</v>
      </c>
      <c r="O19">
        <v>8</v>
      </c>
      <c r="P19">
        <v>11</v>
      </c>
      <c r="Q19">
        <v>6</v>
      </c>
      <c r="R19">
        <v>1</v>
      </c>
      <c r="S19">
        <v>13</v>
      </c>
      <c r="T19">
        <v>13</v>
      </c>
      <c r="U19">
        <v>16</v>
      </c>
      <c r="V19">
        <v>3</v>
      </c>
      <c r="W19">
        <v>10</v>
      </c>
      <c r="X19">
        <v>14</v>
      </c>
      <c r="Y19">
        <v>9</v>
      </c>
      <c r="Z19">
        <v>7</v>
      </c>
      <c r="AA19">
        <v>2</v>
      </c>
      <c r="AB19">
        <v>14</v>
      </c>
      <c r="AC19">
        <v>16</v>
      </c>
    </row>
    <row r="20" spans="1:29" x14ac:dyDescent="0.3">
      <c r="A20" s="2" t="s">
        <v>20</v>
      </c>
      <c r="B20">
        <v>2</v>
      </c>
      <c r="C20">
        <v>1</v>
      </c>
      <c r="D20">
        <v>4</v>
      </c>
      <c r="E20">
        <v>3</v>
      </c>
      <c r="F20">
        <v>3</v>
      </c>
      <c r="G20">
        <v>2</v>
      </c>
      <c r="H20">
        <v>2</v>
      </c>
      <c r="I20">
        <v>1</v>
      </c>
      <c r="J20">
        <v>5</v>
      </c>
      <c r="K20">
        <v>2</v>
      </c>
      <c r="L20">
        <v>1</v>
      </c>
      <c r="M20">
        <v>0</v>
      </c>
      <c r="N20">
        <v>0</v>
      </c>
      <c r="O20">
        <v>2</v>
      </c>
      <c r="P20">
        <v>3</v>
      </c>
      <c r="Q20">
        <v>2</v>
      </c>
      <c r="R20">
        <v>3</v>
      </c>
      <c r="S20">
        <v>3</v>
      </c>
      <c r="T20">
        <v>3</v>
      </c>
      <c r="U20">
        <v>2</v>
      </c>
      <c r="V20">
        <v>2</v>
      </c>
      <c r="W20">
        <v>1</v>
      </c>
      <c r="X20">
        <v>5</v>
      </c>
      <c r="Y20">
        <v>0</v>
      </c>
      <c r="Z20">
        <v>2</v>
      </c>
      <c r="AA20">
        <v>1</v>
      </c>
      <c r="AB20">
        <v>4</v>
      </c>
      <c r="AC20">
        <v>3</v>
      </c>
    </row>
    <row r="21" spans="1:29" x14ac:dyDescent="0.3">
      <c r="A21" s="2" t="s">
        <v>21</v>
      </c>
    </row>
    <row r="23" spans="1:29" x14ac:dyDescent="0.3">
      <c r="A23" s="1" t="s">
        <v>0</v>
      </c>
    </row>
    <row r="24" spans="1:29" x14ac:dyDescent="0.3">
      <c r="A24" s="2" t="s">
        <v>1</v>
      </c>
      <c r="B24">
        <v>3443</v>
      </c>
      <c r="C24">
        <v>3070</v>
      </c>
      <c r="D24">
        <v>4586</v>
      </c>
      <c r="E24">
        <v>5286</v>
      </c>
      <c r="F24">
        <v>14280</v>
      </c>
      <c r="G24">
        <v>11880</v>
      </c>
      <c r="H24">
        <v>8800</v>
      </c>
      <c r="I24">
        <v>3170</v>
      </c>
      <c r="J24">
        <v>16100</v>
      </c>
      <c r="K24">
        <v>5552</v>
      </c>
      <c r="L24">
        <v>8820</v>
      </c>
      <c r="M24">
        <v>6300</v>
      </c>
      <c r="N24">
        <v>4354</v>
      </c>
      <c r="O24">
        <v>5953</v>
      </c>
      <c r="P24">
        <v>1546</v>
      </c>
      <c r="Q24">
        <v>256</v>
      </c>
      <c r="R24">
        <v>282</v>
      </c>
      <c r="S24">
        <v>1249</v>
      </c>
      <c r="T24">
        <v>1819</v>
      </c>
      <c r="U24">
        <v>3496</v>
      </c>
      <c r="V24">
        <v>1223</v>
      </c>
      <c r="W24">
        <v>1535</v>
      </c>
      <c r="X24">
        <v>2140</v>
      </c>
      <c r="Y24">
        <v>1773</v>
      </c>
      <c r="Z24">
        <v>1963</v>
      </c>
      <c r="AA24">
        <v>730</v>
      </c>
      <c r="AB24">
        <v>1610</v>
      </c>
      <c r="AC24">
        <v>2536</v>
      </c>
    </row>
    <row r="25" spans="1:29" x14ac:dyDescent="0.3">
      <c r="A25" s="2" t="s">
        <v>2</v>
      </c>
      <c r="B25">
        <f t="shared" ref="B25:O25" si="3">(B39+B40+B41)*B24</f>
        <v>1833.0000000000002</v>
      </c>
      <c r="C25">
        <f t="shared" si="3"/>
        <v>1750</v>
      </c>
      <c r="D25">
        <f t="shared" si="3"/>
        <v>1229</v>
      </c>
      <c r="E25">
        <f t="shared" si="3"/>
        <v>1429</v>
      </c>
      <c r="F25">
        <f t="shared" si="3"/>
        <v>4380</v>
      </c>
      <c r="G25">
        <f t="shared" si="3"/>
        <v>2180</v>
      </c>
      <c r="H25">
        <f t="shared" si="3"/>
        <v>3360</v>
      </c>
      <c r="I25">
        <f t="shared" si="3"/>
        <v>919.99999999999989</v>
      </c>
      <c r="J25">
        <f t="shared" si="3"/>
        <v>8200</v>
      </c>
      <c r="K25">
        <f t="shared" si="3"/>
        <v>3016</v>
      </c>
      <c r="L25">
        <f t="shared" si="3"/>
        <v>3840.0000000000005</v>
      </c>
      <c r="M25">
        <f t="shared" si="3"/>
        <v>2380</v>
      </c>
      <c r="N25">
        <f t="shared" si="3"/>
        <v>2236.0000000000005</v>
      </c>
      <c r="O25">
        <f t="shared" si="3"/>
        <v>2300</v>
      </c>
      <c r="P25">
        <f t="shared" ref="P25:Q25" si="4">(P39+P40+P41)*P24</f>
        <v>1036</v>
      </c>
      <c r="Q25">
        <f t="shared" si="4"/>
        <v>15</v>
      </c>
      <c r="R25">
        <f t="shared" ref="R25:AC25" si="5">(R39+R40+R41)*R24</f>
        <v>186.99999999999997</v>
      </c>
      <c r="S25">
        <f t="shared" si="5"/>
        <v>478</v>
      </c>
      <c r="T25">
        <f t="shared" si="5"/>
        <v>1094</v>
      </c>
      <c r="U25">
        <f t="shared" si="5"/>
        <v>1755</v>
      </c>
      <c r="V25">
        <f t="shared" si="5"/>
        <v>980</v>
      </c>
      <c r="W25">
        <f t="shared" si="5"/>
        <v>1055.0000000000002</v>
      </c>
      <c r="X25">
        <f t="shared" si="5"/>
        <v>1557.0000000000002</v>
      </c>
      <c r="Y25">
        <f t="shared" si="5"/>
        <v>1247</v>
      </c>
      <c r="Z25">
        <f t="shared" si="5"/>
        <v>1363</v>
      </c>
      <c r="AA25">
        <f t="shared" si="5"/>
        <v>676.00000000000011</v>
      </c>
      <c r="AB25">
        <f t="shared" si="5"/>
        <v>740</v>
      </c>
      <c r="AC25">
        <f t="shared" si="5"/>
        <v>1263</v>
      </c>
    </row>
    <row r="27" spans="1:29" x14ac:dyDescent="0.3">
      <c r="A27" s="1" t="s">
        <v>3</v>
      </c>
    </row>
    <row r="28" spans="1:29" x14ac:dyDescent="0.3">
      <c r="A28" s="2" t="s">
        <v>4</v>
      </c>
      <c r="B28" t="s">
        <v>139</v>
      </c>
      <c r="C28" t="s">
        <v>137</v>
      </c>
      <c r="D28" t="s">
        <v>288</v>
      </c>
      <c r="E28" t="s">
        <v>308</v>
      </c>
      <c r="F28" t="s">
        <v>283</v>
      </c>
      <c r="G28" t="s">
        <v>284</v>
      </c>
      <c r="H28" t="s">
        <v>284</v>
      </c>
      <c r="I28" t="s">
        <v>137</v>
      </c>
      <c r="J28" t="s">
        <v>451</v>
      </c>
      <c r="K28" t="s">
        <v>160</v>
      </c>
      <c r="L28" t="s">
        <v>317</v>
      </c>
      <c r="M28" t="s">
        <v>283</v>
      </c>
      <c r="N28" t="s">
        <v>301</v>
      </c>
      <c r="O28" t="s">
        <v>317</v>
      </c>
      <c r="P28" t="s">
        <v>158</v>
      </c>
      <c r="Q28" t="s">
        <v>452</v>
      </c>
      <c r="R28" t="s">
        <v>452</v>
      </c>
      <c r="S28" t="s">
        <v>452</v>
      </c>
      <c r="T28" t="s">
        <v>138</v>
      </c>
      <c r="U28" t="s">
        <v>160</v>
      </c>
      <c r="V28" t="s">
        <v>138</v>
      </c>
      <c r="W28" t="s">
        <v>138</v>
      </c>
      <c r="X28" t="s">
        <v>152</v>
      </c>
      <c r="Y28" t="s">
        <v>138</v>
      </c>
      <c r="Z28" t="s">
        <v>133</v>
      </c>
      <c r="AA28" t="s">
        <v>138</v>
      </c>
      <c r="AB28" t="s">
        <v>452</v>
      </c>
      <c r="AC28" t="s">
        <v>160</v>
      </c>
    </row>
    <row r="29" spans="1:29" x14ac:dyDescent="0.3">
      <c r="A29" s="2" t="s">
        <v>5</v>
      </c>
      <c r="B29">
        <v>911</v>
      </c>
      <c r="C29">
        <v>530</v>
      </c>
      <c r="D29">
        <v>771</v>
      </c>
      <c r="E29">
        <v>771</v>
      </c>
      <c r="F29">
        <v>5700</v>
      </c>
      <c r="G29">
        <v>8100</v>
      </c>
      <c r="H29">
        <v>2100</v>
      </c>
      <c r="I29">
        <v>520</v>
      </c>
      <c r="J29">
        <v>2180</v>
      </c>
      <c r="K29">
        <v>1033</v>
      </c>
      <c r="L29">
        <v>1900</v>
      </c>
      <c r="M29">
        <v>2900</v>
      </c>
      <c r="N29">
        <v>550</v>
      </c>
      <c r="O29">
        <v>1033</v>
      </c>
      <c r="P29">
        <v>427</v>
      </c>
      <c r="Q29">
        <v>144</v>
      </c>
      <c r="R29">
        <v>64</v>
      </c>
      <c r="S29">
        <v>356</v>
      </c>
      <c r="T29">
        <v>595</v>
      </c>
      <c r="U29">
        <v>664</v>
      </c>
      <c r="V29">
        <v>515</v>
      </c>
      <c r="W29">
        <v>595</v>
      </c>
      <c r="X29">
        <v>531</v>
      </c>
      <c r="Y29">
        <v>900</v>
      </c>
      <c r="Z29">
        <v>263</v>
      </c>
      <c r="AA29">
        <v>510</v>
      </c>
      <c r="AB29">
        <v>365</v>
      </c>
      <c r="AC29">
        <v>379</v>
      </c>
    </row>
    <row r="30" spans="1:29" x14ac:dyDescent="0.3">
      <c r="A30" s="2" t="s">
        <v>6</v>
      </c>
      <c r="B30" t="s">
        <v>288</v>
      </c>
      <c r="C30" t="s">
        <v>450</v>
      </c>
      <c r="D30" t="s">
        <v>343</v>
      </c>
      <c r="E30" t="s">
        <v>435</v>
      </c>
      <c r="F30" t="s">
        <v>134</v>
      </c>
      <c r="G30" t="s">
        <v>158</v>
      </c>
      <c r="H30" t="s">
        <v>174</v>
      </c>
      <c r="I30" t="s">
        <v>343</v>
      </c>
      <c r="J30" t="s">
        <v>137</v>
      </c>
      <c r="K30" t="s">
        <v>158</v>
      </c>
      <c r="L30" t="s">
        <v>450</v>
      </c>
      <c r="M30" t="s">
        <v>174</v>
      </c>
      <c r="N30" t="s">
        <v>219</v>
      </c>
      <c r="O30" t="s">
        <v>283</v>
      </c>
      <c r="P30" t="s">
        <v>139</v>
      </c>
      <c r="Q30" t="s">
        <v>453</v>
      </c>
      <c r="R30" t="s">
        <v>137</v>
      </c>
      <c r="S30" t="s">
        <v>138</v>
      </c>
      <c r="T30" t="s">
        <v>174</v>
      </c>
      <c r="U30" t="s">
        <v>137</v>
      </c>
      <c r="V30" t="s">
        <v>159</v>
      </c>
      <c r="W30" t="s">
        <v>201</v>
      </c>
      <c r="X30" t="s">
        <v>132</v>
      </c>
      <c r="Y30" t="s">
        <v>133</v>
      </c>
      <c r="Z30" t="s">
        <v>169</v>
      </c>
      <c r="AA30" t="s">
        <v>188</v>
      </c>
      <c r="AB30" t="s">
        <v>159</v>
      </c>
      <c r="AC30" t="s">
        <v>317</v>
      </c>
    </row>
    <row r="31" spans="1:29" x14ac:dyDescent="0.3">
      <c r="A31" s="2" t="s">
        <v>7</v>
      </c>
      <c r="B31">
        <v>867</v>
      </c>
      <c r="C31">
        <v>410</v>
      </c>
      <c r="D31">
        <v>386</v>
      </c>
      <c r="E31">
        <v>714</v>
      </c>
      <c r="F31">
        <v>2340</v>
      </c>
      <c r="G31">
        <v>1260</v>
      </c>
      <c r="H31">
        <v>960</v>
      </c>
      <c r="I31">
        <v>490</v>
      </c>
      <c r="J31">
        <v>1820</v>
      </c>
      <c r="K31">
        <v>783</v>
      </c>
      <c r="L31">
        <v>860</v>
      </c>
      <c r="M31">
        <v>640</v>
      </c>
      <c r="N31">
        <v>300</v>
      </c>
      <c r="O31">
        <v>683</v>
      </c>
      <c r="P31">
        <v>168</v>
      </c>
      <c r="Q31">
        <v>31</v>
      </c>
      <c r="R31">
        <v>63</v>
      </c>
      <c r="S31">
        <v>270</v>
      </c>
      <c r="T31">
        <v>232</v>
      </c>
      <c r="U31">
        <v>227</v>
      </c>
      <c r="V31">
        <v>219</v>
      </c>
      <c r="W31">
        <v>125</v>
      </c>
      <c r="X31">
        <v>244</v>
      </c>
      <c r="Y31">
        <v>112</v>
      </c>
      <c r="Z31">
        <v>194</v>
      </c>
      <c r="AA31">
        <v>28</v>
      </c>
      <c r="AB31">
        <v>305</v>
      </c>
      <c r="AC31">
        <v>257</v>
      </c>
    </row>
    <row r="32" spans="1:29" x14ac:dyDescent="0.3">
      <c r="A32" s="2" t="s">
        <v>8</v>
      </c>
      <c r="B32" t="s">
        <v>317</v>
      </c>
      <c r="C32" t="s">
        <v>317</v>
      </c>
      <c r="D32" t="s">
        <v>284</v>
      </c>
      <c r="E32" t="s">
        <v>329</v>
      </c>
      <c r="F32" t="s">
        <v>329</v>
      </c>
      <c r="G32" t="s">
        <v>160</v>
      </c>
      <c r="H32" t="s">
        <v>137</v>
      </c>
      <c r="I32" t="s">
        <v>284</v>
      </c>
      <c r="J32" t="s">
        <v>343</v>
      </c>
      <c r="K32" t="s">
        <v>451</v>
      </c>
      <c r="L32" t="s">
        <v>137</v>
      </c>
      <c r="M32" t="s">
        <v>239</v>
      </c>
      <c r="N32" t="s">
        <v>239</v>
      </c>
      <c r="O32" t="s">
        <v>139</v>
      </c>
      <c r="P32" t="s">
        <v>137</v>
      </c>
      <c r="Q32" t="s">
        <v>430</v>
      </c>
      <c r="R32" t="s">
        <v>139</v>
      </c>
      <c r="S32" t="s">
        <v>286</v>
      </c>
      <c r="T32" t="s">
        <v>395</v>
      </c>
      <c r="U32" t="s">
        <v>435</v>
      </c>
      <c r="V32" t="s">
        <v>169</v>
      </c>
      <c r="W32" t="s">
        <v>229</v>
      </c>
      <c r="X32" t="s">
        <v>138</v>
      </c>
      <c r="Y32" t="s">
        <v>308</v>
      </c>
      <c r="Z32" t="s">
        <v>138</v>
      </c>
      <c r="AA32" t="s">
        <v>155</v>
      </c>
      <c r="AB32" t="s">
        <v>138</v>
      </c>
      <c r="AC32" t="s">
        <v>435</v>
      </c>
    </row>
    <row r="33" spans="1:29" x14ac:dyDescent="0.3">
      <c r="A33" s="2" t="s">
        <v>9</v>
      </c>
      <c r="B33">
        <v>367</v>
      </c>
      <c r="C33">
        <v>320</v>
      </c>
      <c r="D33">
        <v>357</v>
      </c>
      <c r="E33">
        <v>400</v>
      </c>
      <c r="F33">
        <v>720</v>
      </c>
      <c r="G33">
        <v>400</v>
      </c>
      <c r="H33">
        <v>700</v>
      </c>
      <c r="I33">
        <v>410</v>
      </c>
      <c r="J33">
        <v>1680</v>
      </c>
      <c r="K33">
        <v>700</v>
      </c>
      <c r="L33">
        <v>720</v>
      </c>
      <c r="M33">
        <v>520</v>
      </c>
      <c r="N33">
        <v>275</v>
      </c>
      <c r="O33">
        <v>617</v>
      </c>
      <c r="P33">
        <v>155</v>
      </c>
      <c r="Q33">
        <v>20</v>
      </c>
      <c r="R33">
        <v>33</v>
      </c>
      <c r="S33">
        <v>52</v>
      </c>
      <c r="T33">
        <v>126</v>
      </c>
      <c r="U33">
        <v>227</v>
      </c>
      <c r="V33">
        <v>77</v>
      </c>
      <c r="W33">
        <v>70</v>
      </c>
      <c r="X33">
        <v>119</v>
      </c>
      <c r="Y33">
        <v>112</v>
      </c>
      <c r="Z33">
        <v>169</v>
      </c>
      <c r="AA33">
        <v>21</v>
      </c>
      <c r="AB33">
        <v>145</v>
      </c>
      <c r="AC33">
        <v>207</v>
      </c>
    </row>
    <row r="34" spans="1:29" x14ac:dyDescent="0.3">
      <c r="A34" s="2" t="s">
        <v>10</v>
      </c>
      <c r="B34" s="31">
        <f t="shared" ref="B34:O34" si="6">(B29/B24)</f>
        <v>0.26459483009003776</v>
      </c>
      <c r="C34" s="31">
        <f t="shared" si="6"/>
        <v>0.17263843648208468</v>
      </c>
      <c r="D34" s="31">
        <f t="shared" si="6"/>
        <v>0.16812036633231575</v>
      </c>
      <c r="E34" s="31">
        <f t="shared" si="6"/>
        <v>0.14585698070374575</v>
      </c>
      <c r="F34" s="31">
        <f t="shared" si="6"/>
        <v>0.39915966386554624</v>
      </c>
      <c r="G34" s="31">
        <f t="shared" si="6"/>
        <v>0.68181818181818177</v>
      </c>
      <c r="H34" s="31">
        <f t="shared" si="6"/>
        <v>0.23863636363636365</v>
      </c>
      <c r="I34" s="31">
        <f t="shared" si="6"/>
        <v>0.16403785488958991</v>
      </c>
      <c r="J34" s="31">
        <f t="shared" si="6"/>
        <v>0.13540372670807455</v>
      </c>
      <c r="K34" s="31">
        <f t="shared" si="6"/>
        <v>0.18605907780979827</v>
      </c>
      <c r="L34" s="31">
        <f t="shared" si="6"/>
        <v>0.21541950113378686</v>
      </c>
      <c r="M34" s="31">
        <f t="shared" si="6"/>
        <v>0.46031746031746029</v>
      </c>
      <c r="N34" s="31">
        <f t="shared" si="6"/>
        <v>0.12632062471290767</v>
      </c>
      <c r="O34" s="31">
        <f t="shared" si="6"/>
        <v>0.17352595330085671</v>
      </c>
      <c r="P34" s="31">
        <f t="shared" ref="P34:Q34" si="7">(P29/P24)</f>
        <v>0.27619663648124193</v>
      </c>
      <c r="Q34" s="31">
        <f t="shared" si="7"/>
        <v>0.5625</v>
      </c>
      <c r="R34" s="31">
        <f t="shared" ref="R34:AC34" si="8">(R29/R24)</f>
        <v>0.22695035460992907</v>
      </c>
      <c r="S34" s="31">
        <f t="shared" si="8"/>
        <v>0.28502802241793435</v>
      </c>
      <c r="T34" s="31">
        <f t="shared" si="8"/>
        <v>0.32710280373831774</v>
      </c>
      <c r="U34" s="31">
        <f t="shared" si="8"/>
        <v>0.18993135011441648</v>
      </c>
      <c r="V34" s="31">
        <f t="shared" si="8"/>
        <v>0.42109566639411283</v>
      </c>
      <c r="W34" s="31">
        <f t="shared" si="8"/>
        <v>0.38762214983713356</v>
      </c>
      <c r="X34" s="31">
        <f t="shared" si="8"/>
        <v>0.24813084112149533</v>
      </c>
      <c r="Y34" s="31">
        <f t="shared" si="8"/>
        <v>0.50761421319796951</v>
      </c>
      <c r="Z34" s="31">
        <f t="shared" si="8"/>
        <v>0.13397860417727966</v>
      </c>
      <c r="AA34" s="31">
        <f t="shared" si="8"/>
        <v>0.69863013698630139</v>
      </c>
      <c r="AB34" s="31">
        <f t="shared" si="8"/>
        <v>0.2267080745341615</v>
      </c>
      <c r="AC34" s="31">
        <f t="shared" si="8"/>
        <v>0.14944794952681387</v>
      </c>
    </row>
    <row r="35" spans="1:29" x14ac:dyDescent="0.3">
      <c r="A35" s="2" t="s">
        <v>11</v>
      </c>
      <c r="B35" s="31">
        <f t="shared" ref="B35:O35" si="9">(B31/B24)</f>
        <v>0.25181527737438281</v>
      </c>
      <c r="C35" s="31">
        <f t="shared" si="9"/>
        <v>0.13355048859934854</v>
      </c>
      <c r="D35" s="31">
        <f t="shared" si="9"/>
        <v>8.4169210641081557E-2</v>
      </c>
      <c r="E35" s="31">
        <f t="shared" si="9"/>
        <v>0.13507377979568672</v>
      </c>
      <c r="F35" s="31">
        <f t="shared" si="9"/>
        <v>0.1638655462184874</v>
      </c>
      <c r="G35" s="31">
        <f t="shared" si="9"/>
        <v>0.10606060606060606</v>
      </c>
      <c r="H35" s="31">
        <f t="shared" si="9"/>
        <v>0.10909090909090909</v>
      </c>
      <c r="I35" s="31">
        <f t="shared" si="9"/>
        <v>0.15457413249211358</v>
      </c>
      <c r="J35" s="31">
        <f t="shared" si="9"/>
        <v>0.11304347826086956</v>
      </c>
      <c r="K35" s="31">
        <f t="shared" si="9"/>
        <v>0.14103025936599423</v>
      </c>
      <c r="L35" s="31">
        <f t="shared" si="9"/>
        <v>9.7505668934240369E-2</v>
      </c>
      <c r="M35" s="31">
        <f t="shared" si="9"/>
        <v>0.10158730158730159</v>
      </c>
      <c r="N35" s="31">
        <f t="shared" si="9"/>
        <v>6.8902158934313271E-2</v>
      </c>
      <c r="O35" s="31">
        <f t="shared" si="9"/>
        <v>0.11473206786494204</v>
      </c>
      <c r="P35" s="31">
        <f t="shared" ref="P35:Q35" si="10">(P31/P24)</f>
        <v>0.10866752910737387</v>
      </c>
      <c r="Q35" s="31">
        <f t="shared" si="10"/>
        <v>0.12109375</v>
      </c>
      <c r="R35" s="31">
        <f t="shared" ref="R35:AC35" si="11">(R31/R24)</f>
        <v>0.22340425531914893</v>
      </c>
      <c r="S35" s="31">
        <f t="shared" si="11"/>
        <v>0.21617293835068055</v>
      </c>
      <c r="T35" s="31">
        <f t="shared" si="11"/>
        <v>0.12754260582737767</v>
      </c>
      <c r="U35" s="31">
        <f t="shared" si="11"/>
        <v>6.4931350114416475E-2</v>
      </c>
      <c r="V35" s="31">
        <f t="shared" si="11"/>
        <v>0.17906786590351595</v>
      </c>
      <c r="W35" s="31">
        <f t="shared" si="11"/>
        <v>8.143322475570032E-2</v>
      </c>
      <c r="X35" s="31">
        <f t="shared" si="11"/>
        <v>0.11401869158878504</v>
      </c>
      <c r="Y35" s="31">
        <f t="shared" si="11"/>
        <v>6.3169768753525105E-2</v>
      </c>
      <c r="Z35" s="31">
        <f t="shared" si="11"/>
        <v>9.8828323993886913E-2</v>
      </c>
      <c r="AA35" s="31">
        <f t="shared" si="11"/>
        <v>3.8356164383561646E-2</v>
      </c>
      <c r="AB35" s="31">
        <f t="shared" si="11"/>
        <v>0.18944099378881987</v>
      </c>
      <c r="AC35" s="31">
        <f t="shared" si="11"/>
        <v>0.10134069400630914</v>
      </c>
    </row>
    <row r="36" spans="1:29" x14ac:dyDescent="0.3">
      <c r="A36" s="2" t="s">
        <v>12</v>
      </c>
      <c r="B36" s="31">
        <f t="shared" ref="B36:O36" si="12">(B33/B24)</f>
        <v>0.10659308742375835</v>
      </c>
      <c r="C36" s="31">
        <f t="shared" si="12"/>
        <v>0.10423452768729642</v>
      </c>
      <c r="D36" s="31">
        <f t="shared" si="12"/>
        <v>7.7845617095508066E-2</v>
      </c>
      <c r="E36" s="31">
        <f t="shared" si="12"/>
        <v>7.5671585319712451E-2</v>
      </c>
      <c r="F36" s="31">
        <f t="shared" si="12"/>
        <v>5.0420168067226892E-2</v>
      </c>
      <c r="G36" s="31">
        <f t="shared" si="12"/>
        <v>3.3670033670033669E-2</v>
      </c>
      <c r="H36" s="31">
        <f t="shared" si="12"/>
        <v>7.9545454545454544E-2</v>
      </c>
      <c r="I36" s="31">
        <f t="shared" si="12"/>
        <v>0.12933753943217666</v>
      </c>
      <c r="J36" s="31">
        <f t="shared" si="12"/>
        <v>0.10434782608695652</v>
      </c>
      <c r="K36" s="31">
        <f t="shared" si="12"/>
        <v>0.12608069164265129</v>
      </c>
      <c r="L36" s="31">
        <f t="shared" si="12"/>
        <v>8.1632653061224483E-2</v>
      </c>
      <c r="M36" s="31">
        <f t="shared" si="12"/>
        <v>8.2539682539682538E-2</v>
      </c>
      <c r="N36" s="31">
        <f t="shared" si="12"/>
        <v>6.3160312356453835E-2</v>
      </c>
      <c r="O36" s="31">
        <f t="shared" si="12"/>
        <v>0.10364522089702671</v>
      </c>
      <c r="P36" s="31">
        <f t="shared" ref="P36:Q36" si="13">(P33/P24)</f>
        <v>0.10025873221216042</v>
      </c>
      <c r="Q36" s="31">
        <f t="shared" si="13"/>
        <v>7.8125E-2</v>
      </c>
      <c r="R36" s="31">
        <f t="shared" ref="R36:AC36" si="14">(R33/R24)</f>
        <v>0.11702127659574468</v>
      </c>
      <c r="S36" s="31">
        <f t="shared" si="14"/>
        <v>4.1633306645316254E-2</v>
      </c>
      <c r="T36" s="31">
        <f t="shared" si="14"/>
        <v>6.9268829026937873E-2</v>
      </c>
      <c r="U36" s="31">
        <f t="shared" si="14"/>
        <v>6.4931350114416475E-2</v>
      </c>
      <c r="V36" s="31">
        <f t="shared" si="14"/>
        <v>6.2959934587080948E-2</v>
      </c>
      <c r="W36" s="31">
        <f t="shared" si="14"/>
        <v>4.5602605863192182E-2</v>
      </c>
      <c r="X36" s="31">
        <f t="shared" si="14"/>
        <v>5.5607476635514019E-2</v>
      </c>
      <c r="Y36" s="31">
        <f t="shared" si="14"/>
        <v>6.3169768753525105E-2</v>
      </c>
      <c r="Z36" s="31">
        <f t="shared" si="14"/>
        <v>8.6092715231788075E-2</v>
      </c>
      <c r="AA36" s="31">
        <f t="shared" si="14"/>
        <v>2.8767123287671233E-2</v>
      </c>
      <c r="AB36" s="31">
        <f t="shared" si="14"/>
        <v>9.0062111801242239E-2</v>
      </c>
      <c r="AC36" s="31">
        <f t="shared" si="14"/>
        <v>8.1624605678233444E-2</v>
      </c>
    </row>
    <row r="37" spans="1:29" x14ac:dyDescent="0.3">
      <c r="A37" s="2"/>
    </row>
    <row r="38" spans="1:29" x14ac:dyDescent="0.3">
      <c r="A38" s="1" t="s">
        <v>22</v>
      </c>
    </row>
    <row r="39" spans="1:29" x14ac:dyDescent="0.3">
      <c r="A39" s="2" t="s">
        <v>23</v>
      </c>
      <c r="B39" s="31">
        <f>(1411/B24)</f>
        <v>0.40981702004066223</v>
      </c>
      <c r="C39" s="31">
        <f>(1690/C24)</f>
        <v>0.55048859934853422</v>
      </c>
      <c r="D39" s="31">
        <f>(1029/D24)</f>
        <v>0.22437854339293503</v>
      </c>
      <c r="E39" s="31">
        <f>(1129/E24)</f>
        <v>0.21358304956488838</v>
      </c>
      <c r="F39" s="31">
        <f>(3920/F24)</f>
        <v>0.27450980392156865</v>
      </c>
      <c r="G39" s="31">
        <f>(2000/G24)</f>
        <v>0.16835016835016836</v>
      </c>
      <c r="H39" s="31">
        <f>(3020/H24)</f>
        <v>0.3431818181818182</v>
      </c>
      <c r="I39" s="31">
        <f>(850/I24)</f>
        <v>0.26813880126182965</v>
      </c>
      <c r="J39" s="31">
        <f>(7680/J24)</f>
        <v>0.47701863354037266</v>
      </c>
      <c r="K39" s="31">
        <f>(2633/K24)</f>
        <v>0.47424351585014407</v>
      </c>
      <c r="L39" s="31">
        <f>(2620/L24)</f>
        <v>0.29705215419501135</v>
      </c>
      <c r="M39" s="31">
        <f>(1340/M24)</f>
        <v>0.21269841269841269</v>
      </c>
      <c r="N39" s="31">
        <f>(912/N24)</f>
        <v>0.20946256316031236</v>
      </c>
      <c r="O39" s="31">
        <f>(1783/O24)</f>
        <v>0.29951285066353101</v>
      </c>
      <c r="P39" s="31">
        <f>(986/P24)</f>
        <v>0.63777490297542039</v>
      </c>
      <c r="Q39" s="31">
        <f>(13/Q24)</f>
        <v>5.078125E-2</v>
      </c>
      <c r="R39" s="31">
        <f>(179/R24)</f>
        <v>0.63475177304964536</v>
      </c>
      <c r="S39" s="31">
        <f>(322/S24)</f>
        <v>0.2578062449959968</v>
      </c>
      <c r="T39" s="31">
        <f>(1005/T24)</f>
        <v>0.55250137438152835</v>
      </c>
      <c r="U39" s="31">
        <f>(1346/U24)</f>
        <v>0.38501144164759726</v>
      </c>
      <c r="V39" s="31">
        <f>(846/V24)</f>
        <v>0.69174161896974651</v>
      </c>
      <c r="W39" s="31">
        <f>(780/W24)</f>
        <v>0.50814332247557004</v>
      </c>
      <c r="X39" s="31">
        <f>(1426/X24)</f>
        <v>0.66635514018691588</v>
      </c>
      <c r="Y39" s="31">
        <f>(1135/Y24)</f>
        <v>0.64015792442188379</v>
      </c>
      <c r="Z39" s="31">
        <f>(825/Z24)</f>
        <v>0.42027508914926132</v>
      </c>
      <c r="AA39" s="31">
        <f>(586/AA24)</f>
        <v>0.80273972602739729</v>
      </c>
      <c r="AB39" s="31">
        <f>(635/AB24)</f>
        <v>0.39440993788819878</v>
      </c>
      <c r="AC39" s="31">
        <f>(1114/AC24)</f>
        <v>0.4392744479495268</v>
      </c>
    </row>
    <row r="40" spans="1:29" x14ac:dyDescent="0.3">
      <c r="A40" s="2" t="s">
        <v>24</v>
      </c>
      <c r="B40" s="31">
        <f>(322/B24)</f>
        <v>9.3523090328202149E-2</v>
      </c>
      <c r="C40" s="31">
        <f>(0/C24)</f>
        <v>0</v>
      </c>
      <c r="D40" s="31">
        <f>(43/D24)</f>
        <v>9.3763628434365455E-3</v>
      </c>
      <c r="E40" s="31">
        <f>(114/E24)</f>
        <v>2.1566401816118047E-2</v>
      </c>
      <c r="F40" s="31">
        <f>(280/F24)</f>
        <v>1.9607843137254902E-2</v>
      </c>
      <c r="G40" s="31">
        <f>(20/G24)</f>
        <v>1.6835016835016834E-3</v>
      </c>
      <c r="H40" s="31">
        <f>(0/H24)</f>
        <v>0</v>
      </c>
      <c r="I40" s="31">
        <f>(0/I24)</f>
        <v>0</v>
      </c>
      <c r="J40" s="31">
        <f>(160/J24)</f>
        <v>9.9378881987577643E-3</v>
      </c>
      <c r="K40" s="31">
        <f>(233/K24)</f>
        <v>4.1966858789625361E-2</v>
      </c>
      <c r="L40" s="31">
        <f>(200/L24)</f>
        <v>2.2675736961451247E-2</v>
      </c>
      <c r="M40" s="31">
        <f>(80/M24)</f>
        <v>1.2698412698412698E-2</v>
      </c>
      <c r="N40" s="31">
        <f>(262/N24)</f>
        <v>6.0174552135966924E-2</v>
      </c>
      <c r="O40" s="31">
        <f>(217/O24)</f>
        <v>3.6452208970267096E-2</v>
      </c>
      <c r="P40" s="31">
        <f>(4/P24)</f>
        <v>2.5873221216041399E-3</v>
      </c>
      <c r="Q40" s="31">
        <f>(0/Q24)</f>
        <v>0</v>
      </c>
      <c r="R40" s="31">
        <f>(3/R24)</f>
        <v>1.0638297872340425E-2</v>
      </c>
      <c r="S40" s="31">
        <f>(41/S24)</f>
        <v>3.2826261008807048E-2</v>
      </c>
      <c r="T40" s="31">
        <f>(21/T24)</f>
        <v>1.154480483782298E-2</v>
      </c>
      <c r="U40" s="31">
        <f>(100/U24)</f>
        <v>2.8604118993135013E-2</v>
      </c>
      <c r="V40" s="31">
        <f>(27/V24)</f>
        <v>2.2076860179885527E-2</v>
      </c>
      <c r="W40" s="31">
        <f>(150/W24)</f>
        <v>9.7719869706840393E-2</v>
      </c>
      <c r="X40" s="31">
        <f>(25/X24)</f>
        <v>1.1682242990654205E-2</v>
      </c>
      <c r="Y40" s="31">
        <f>(41/Y24)</f>
        <v>2.3124647490129723E-2</v>
      </c>
      <c r="Z40" s="31">
        <f>(113/Z24)</f>
        <v>5.7564951604686707E-2</v>
      </c>
      <c r="AA40" s="31">
        <f>(45/AA24)</f>
        <v>6.1643835616438353E-2</v>
      </c>
      <c r="AB40" s="31">
        <f>(15/AB24)</f>
        <v>9.316770186335404E-3</v>
      </c>
      <c r="AC40" s="31">
        <f>(28/AC24)</f>
        <v>1.1041009463722398E-2</v>
      </c>
    </row>
    <row r="41" spans="1:29" x14ac:dyDescent="0.3">
      <c r="A41" s="2" t="s">
        <v>25</v>
      </c>
      <c r="B41" s="31">
        <f>(100/B24)</f>
        <v>2.9044437990124891E-2</v>
      </c>
      <c r="C41" s="31">
        <f>(60/C24)</f>
        <v>1.9543973941368076E-2</v>
      </c>
      <c r="D41" s="31">
        <f>(157/D24)</f>
        <v>3.4234627126035762E-2</v>
      </c>
      <c r="E41" s="31">
        <f>(186/E24)</f>
        <v>3.5187287173666287E-2</v>
      </c>
      <c r="F41" s="31">
        <f>(180/F24)</f>
        <v>1.2605042016806723E-2</v>
      </c>
      <c r="G41" s="31">
        <f>(160/G24)</f>
        <v>1.3468013468013467E-2</v>
      </c>
      <c r="H41" s="31">
        <f>(340/H24)</f>
        <v>3.8636363636363635E-2</v>
      </c>
      <c r="I41" s="31">
        <f>(70/I24)</f>
        <v>2.2082018927444796E-2</v>
      </c>
      <c r="J41" s="31">
        <f>(360/J24)</f>
        <v>2.236024844720497E-2</v>
      </c>
      <c r="K41" s="31">
        <f>(150/K24)</f>
        <v>2.7017291066282419E-2</v>
      </c>
      <c r="L41" s="31">
        <f>(1020/L24)</f>
        <v>0.11564625850340136</v>
      </c>
      <c r="M41" s="31">
        <f>(960/M24)</f>
        <v>0.15238095238095239</v>
      </c>
      <c r="N41" s="31">
        <f>(1062/N24)</f>
        <v>0.24391364262746901</v>
      </c>
      <c r="O41" s="31">
        <f>(300/O24)</f>
        <v>5.0394758945069715E-2</v>
      </c>
      <c r="P41" s="31">
        <f>(46/P24)</f>
        <v>2.9754204398447608E-2</v>
      </c>
      <c r="Q41" s="31">
        <f>(2/Q24)</f>
        <v>7.8125E-3</v>
      </c>
      <c r="R41" s="31">
        <f>(5/R24)</f>
        <v>1.7730496453900711E-2</v>
      </c>
      <c r="S41" s="31">
        <f>(115/S24)</f>
        <v>9.2073658927141713E-2</v>
      </c>
      <c r="T41" s="31">
        <f>(68/T24)</f>
        <v>3.7383177570093455E-2</v>
      </c>
      <c r="U41" s="31">
        <f>(309/U24)</f>
        <v>8.8386727688787192E-2</v>
      </c>
      <c r="V41" s="31">
        <f>(107/V24)</f>
        <v>8.7489779231398196E-2</v>
      </c>
      <c r="W41" s="31">
        <f>(125/W24)</f>
        <v>8.143322475570032E-2</v>
      </c>
      <c r="X41" s="31">
        <f>(106/X24)</f>
        <v>4.9532710280373829E-2</v>
      </c>
      <c r="Y41" s="31">
        <f>(71/Y24)</f>
        <v>4.0045121263395378E-2</v>
      </c>
      <c r="Z41" s="31">
        <f>(425/Z24)</f>
        <v>0.21650534895568008</v>
      </c>
      <c r="AA41" s="31">
        <f>(45/AA24)</f>
        <v>6.1643835616438353E-2</v>
      </c>
      <c r="AB41" s="31">
        <f>(90/AB24)</f>
        <v>5.5900621118012424E-2</v>
      </c>
      <c r="AC41" s="31">
        <f>(121/AC24)</f>
        <v>4.7712933753943219E-2</v>
      </c>
    </row>
    <row r="42" spans="1:29" x14ac:dyDescent="0.3">
      <c r="A42" s="2" t="s">
        <v>26</v>
      </c>
      <c r="B42" s="31">
        <f t="shared" ref="B42:O42" si="15">(B39+B40+B41)</f>
        <v>0.5323845483589893</v>
      </c>
      <c r="C42" s="31">
        <f t="shared" si="15"/>
        <v>0.57003257328990231</v>
      </c>
      <c r="D42" s="31">
        <f t="shared" si="15"/>
        <v>0.26798953336240733</v>
      </c>
      <c r="E42" s="31">
        <f t="shared" si="15"/>
        <v>0.27033673855467272</v>
      </c>
      <c r="F42" s="31">
        <f t="shared" si="15"/>
        <v>0.30672268907563027</v>
      </c>
      <c r="G42" s="31">
        <f t="shared" si="15"/>
        <v>0.1835016835016835</v>
      </c>
      <c r="H42" s="31">
        <f t="shared" si="15"/>
        <v>0.38181818181818183</v>
      </c>
      <c r="I42" s="31">
        <f t="shared" si="15"/>
        <v>0.29022082018927442</v>
      </c>
      <c r="J42" s="31">
        <f t="shared" si="15"/>
        <v>0.50931677018633537</v>
      </c>
      <c r="K42" s="31">
        <f t="shared" si="15"/>
        <v>0.54322766570605185</v>
      </c>
      <c r="L42" s="31">
        <f t="shared" si="15"/>
        <v>0.43537414965986398</v>
      </c>
      <c r="M42" s="31">
        <f t="shared" si="15"/>
        <v>0.37777777777777777</v>
      </c>
      <c r="N42" s="31">
        <f t="shared" si="15"/>
        <v>0.51355075792374838</v>
      </c>
      <c r="O42" s="31">
        <f t="shared" si="15"/>
        <v>0.38635981857886781</v>
      </c>
      <c r="P42" s="31">
        <f t="shared" ref="P42:Q42" si="16">(P39+P40+P41)</f>
        <v>0.67011642949547212</v>
      </c>
      <c r="Q42" s="31">
        <f t="shared" si="16"/>
        <v>5.859375E-2</v>
      </c>
      <c r="R42" s="31">
        <f t="shared" ref="R42:AC42" si="17">(R39+R40+R41)</f>
        <v>0.66312056737588643</v>
      </c>
      <c r="S42" s="31">
        <f t="shared" si="17"/>
        <v>0.38270616493194554</v>
      </c>
      <c r="T42" s="31">
        <f t="shared" si="17"/>
        <v>0.60142935678944476</v>
      </c>
      <c r="U42" s="31">
        <f t="shared" si="17"/>
        <v>0.50200228832951943</v>
      </c>
      <c r="V42" s="31">
        <f t="shared" si="17"/>
        <v>0.80130825838103026</v>
      </c>
      <c r="W42" s="31">
        <f t="shared" si="17"/>
        <v>0.68729641693811083</v>
      </c>
      <c r="X42" s="31">
        <f t="shared" si="17"/>
        <v>0.72757009345794399</v>
      </c>
      <c r="Y42" s="31">
        <f t="shared" si="17"/>
        <v>0.70332769317540889</v>
      </c>
      <c r="Z42" s="31">
        <f t="shared" si="17"/>
        <v>0.69434538970962811</v>
      </c>
      <c r="AA42" s="31">
        <f t="shared" si="17"/>
        <v>0.92602739726027405</v>
      </c>
      <c r="AB42" s="31">
        <f t="shared" si="17"/>
        <v>0.45962732919254662</v>
      </c>
      <c r="AC42" s="31">
        <f t="shared" si="17"/>
        <v>0.49802839116719239</v>
      </c>
    </row>
    <row r="43" spans="1:29" x14ac:dyDescent="0.3">
      <c r="A43" s="2" t="s">
        <v>27</v>
      </c>
      <c r="B43" s="31">
        <f>(1389/B24)</f>
        <v>0.40342724368283472</v>
      </c>
      <c r="C43" s="31">
        <f>(1180/C24)</f>
        <v>0.38436482084690554</v>
      </c>
      <c r="D43" s="31">
        <f>(2629/D24)</f>
        <v>0.57326646314871343</v>
      </c>
      <c r="E43" s="31">
        <f>(2343/E24)</f>
        <v>0.44324631101021567</v>
      </c>
      <c r="F43" s="31">
        <f>(8700/F24)</f>
        <v>0.60924369747899154</v>
      </c>
      <c r="G43" s="31">
        <f>(9040/G24)</f>
        <v>0.76094276094276092</v>
      </c>
      <c r="H43" s="31">
        <f>(4400/H24)</f>
        <v>0.5</v>
      </c>
      <c r="I43" s="31">
        <f>(1690/I24)</f>
        <v>0.53312302839116721</v>
      </c>
      <c r="J43" s="31">
        <f>(5780/J24)</f>
        <v>0.35900621118012421</v>
      </c>
      <c r="K43" s="31">
        <f>(1684/K24)</f>
        <v>0.30331412103746397</v>
      </c>
      <c r="L43" s="31">
        <f>(3740/L24)</f>
        <v>0.42403628117913833</v>
      </c>
      <c r="M43" s="31">
        <f>(3480/M24)</f>
        <v>0.55238095238095242</v>
      </c>
      <c r="N43" s="31">
        <f>(1375/N24)</f>
        <v>0.3158015617822692</v>
      </c>
      <c r="O43" s="31">
        <f>(3250/O24)</f>
        <v>0.54594322190492184</v>
      </c>
      <c r="P43" s="31">
        <f>(386/P24)</f>
        <v>0.24967658473479948</v>
      </c>
      <c r="Q43" s="31">
        <f>(34/Q24)</f>
        <v>0.1328125</v>
      </c>
      <c r="R43" s="31">
        <f>(15/R24)</f>
        <v>5.3191489361702128E-2</v>
      </c>
      <c r="S43" s="31">
        <f>(237/S24)</f>
        <v>0.18975180144115292</v>
      </c>
      <c r="T43" s="31">
        <f>(327/T24)</f>
        <v>0.17976910390324355</v>
      </c>
      <c r="U43" s="31">
        <f>(1036/U24)</f>
        <v>0.29633867276887871</v>
      </c>
      <c r="V43" s="31">
        <f>(50/V24)</f>
        <v>4.0883074407195422E-2</v>
      </c>
      <c r="W43" s="31">
        <f>(300/W24)</f>
        <v>0.19543973941368079</v>
      </c>
      <c r="X43" s="31">
        <f>(388/X24)</f>
        <v>0.18130841121495328</v>
      </c>
      <c r="Y43" s="31">
        <f>(294/Y24)</f>
        <v>0.16582064297800339</v>
      </c>
      <c r="Z43" s="31">
        <f>(194/Z24)</f>
        <v>9.8828323993886913E-2</v>
      </c>
      <c r="AA43" s="31">
        <f>(28/AA24)</f>
        <v>3.8356164383561646E-2</v>
      </c>
      <c r="AB43" s="31">
        <f>(280/AB24)</f>
        <v>0.17391304347826086</v>
      </c>
      <c r="AC43" s="31">
        <f>(807/AC24)</f>
        <v>0.31821766561514198</v>
      </c>
    </row>
    <row r="44" spans="1:29" x14ac:dyDescent="0.3">
      <c r="A44" s="2" t="s">
        <v>28</v>
      </c>
      <c r="B44" s="31">
        <f>(33/B24)</f>
        <v>9.5846645367412137E-3</v>
      </c>
      <c r="C44" s="31">
        <f>(10/C24)</f>
        <v>3.2573289902280132E-3</v>
      </c>
      <c r="D44" s="31">
        <f>(86/D24)</f>
        <v>1.8752725686873091E-2</v>
      </c>
      <c r="E44" s="31">
        <f>(771/E24)</f>
        <v>0.14585698070374575</v>
      </c>
      <c r="F44" s="31">
        <f>(220/F24)</f>
        <v>1.5406162464985995E-2</v>
      </c>
      <c r="G44" s="31">
        <f>(120/G24)</f>
        <v>1.0101010101010102E-2</v>
      </c>
      <c r="H44" s="31">
        <f>(200/H24)</f>
        <v>2.2727272727272728E-2</v>
      </c>
      <c r="I44" s="31">
        <f>(160/I24)</f>
        <v>5.0473186119873815E-2</v>
      </c>
      <c r="J44" s="31">
        <f>(380/J24)</f>
        <v>2.3602484472049691E-2</v>
      </c>
      <c r="K44" s="31">
        <f>(167/K24)</f>
        <v>3.0079250720461095E-2</v>
      </c>
      <c r="L44" s="31">
        <f>(60/L24)</f>
        <v>6.8027210884353739E-3</v>
      </c>
      <c r="M44" s="31">
        <f>(0/M24)</f>
        <v>0</v>
      </c>
      <c r="N44" s="31">
        <f>(0/N24)</f>
        <v>0</v>
      </c>
      <c r="O44" s="31">
        <f>(33/O24)</f>
        <v>5.5434234839576687E-3</v>
      </c>
      <c r="P44" s="31">
        <f>(32/P24)</f>
        <v>2.0698576972833119E-2</v>
      </c>
      <c r="Q44" s="31">
        <f>(164/Q24)</f>
        <v>0.640625</v>
      </c>
      <c r="R44" s="31">
        <f>(75/R24)</f>
        <v>0.26595744680851063</v>
      </c>
      <c r="S44" s="31">
        <f>(385/S24)</f>
        <v>0.30824659727782228</v>
      </c>
      <c r="T44" s="31">
        <f>(37/T24)</f>
        <v>2.0340846619021441E-2</v>
      </c>
      <c r="U44" s="31">
        <f>(273/U24)</f>
        <v>7.808924485125858E-2</v>
      </c>
      <c r="V44" s="31">
        <f>(15/V24)</f>
        <v>1.2264922322158627E-2</v>
      </c>
      <c r="W44" s="31">
        <f>(10/W24)</f>
        <v>6.5146579804560263E-3</v>
      </c>
      <c r="X44" s="31">
        <f>(100/X24)</f>
        <v>4.6728971962616821E-2</v>
      </c>
      <c r="Y44" s="31">
        <f>(0/Y24)</f>
        <v>0</v>
      </c>
      <c r="Z44" s="31">
        <f>(13/Z24)</f>
        <v>6.6225165562913907E-3</v>
      </c>
      <c r="AA44" s="31">
        <f>(14/AA24)</f>
        <v>1.9178082191780823E-2</v>
      </c>
      <c r="AB44" s="31">
        <f>(390/AB24)</f>
        <v>0.24223602484472051</v>
      </c>
      <c r="AC44" s="31">
        <f>(221/AC24)</f>
        <v>8.7145110410094637E-2</v>
      </c>
    </row>
    <row r="45" spans="1:29" x14ac:dyDescent="0.3">
      <c r="A45" s="2" t="s">
        <v>29</v>
      </c>
      <c r="B45" s="31">
        <f>(1089/B24)</f>
        <v>0.31629392971246006</v>
      </c>
      <c r="C45" s="31">
        <f>(1150/C24)</f>
        <v>0.3745928338762215</v>
      </c>
      <c r="D45" s="31">
        <f>(672/D24)</f>
        <v>0.14653292629742695</v>
      </c>
      <c r="E45" s="31">
        <f>(700/E24)</f>
        <v>0.13242527430949677</v>
      </c>
      <c r="F45" s="31">
        <f>(2820/F24)</f>
        <v>0.19747899159663865</v>
      </c>
      <c r="G45" s="31">
        <f>(120/G24)</f>
        <v>1.0101010101010102E-2</v>
      </c>
      <c r="H45" s="31">
        <f>(1660/H24)</f>
        <v>0.18863636363636363</v>
      </c>
      <c r="I45" s="31">
        <f>(680/I24)</f>
        <v>0.21451104100946372</v>
      </c>
      <c r="J45" s="31">
        <f>(3260/J24)</f>
        <v>0.20248447204968945</v>
      </c>
      <c r="K45" s="31">
        <f>(50/K24)</f>
        <v>9.005763688760807E-3</v>
      </c>
      <c r="L45" s="31">
        <f>(1300/L24)</f>
        <v>0.14739229024943309</v>
      </c>
      <c r="M45" s="31">
        <f>(500/M24)</f>
        <v>7.9365079365079361E-2</v>
      </c>
      <c r="N45" s="31">
        <f>(400/N24)</f>
        <v>9.1869545245751028E-2</v>
      </c>
      <c r="O45" s="31">
        <f>(1417/O24)</f>
        <v>0.23803124475054593</v>
      </c>
      <c r="P45" s="31">
        <f>(350/P24)</f>
        <v>0.22639068564036222</v>
      </c>
      <c r="Q45" s="31">
        <f>(6/Q24)</f>
        <v>2.34375E-2</v>
      </c>
      <c r="R45" s="31">
        <f>(96/R24)</f>
        <v>0.34042553191489361</v>
      </c>
      <c r="S45" s="31">
        <f>(270/S24)</f>
        <v>0.21617293835068055</v>
      </c>
      <c r="T45" s="31">
        <f>(705/T24)</f>
        <v>0.38757559098405719</v>
      </c>
      <c r="U45" s="31">
        <f>(409/U24)</f>
        <v>0.11699084668192219</v>
      </c>
      <c r="V45" s="31">
        <f>(519/V24)</f>
        <v>0.42436631234668848</v>
      </c>
      <c r="W45" s="31">
        <f>(660/W24)</f>
        <v>0.42996742671009774</v>
      </c>
      <c r="X45" s="31">
        <f>(606/X24)</f>
        <v>0.28317757009345795</v>
      </c>
      <c r="Y45" s="31">
        <f>(1012/Y24)</f>
        <v>0.5707839819514946</v>
      </c>
      <c r="Z45" s="31">
        <f>(444/Z24)</f>
        <v>0.22618441161487518</v>
      </c>
      <c r="AA45" s="31">
        <f>(528/AA24)</f>
        <v>0.72328767123287674</v>
      </c>
      <c r="AB45" s="31">
        <f>(295/AB24)</f>
        <v>0.18322981366459629</v>
      </c>
      <c r="AC45" s="31">
        <f>(357/AC24)</f>
        <v>0.14077287066246058</v>
      </c>
    </row>
    <row r="46" spans="1:29" x14ac:dyDescent="0.3">
      <c r="A46" s="2" t="s">
        <v>30</v>
      </c>
      <c r="B46" s="31">
        <f>(1289/B24)</f>
        <v>0.37438280569270982</v>
      </c>
      <c r="C46" s="31">
        <f>(960/C24)</f>
        <v>0.31270358306188922</v>
      </c>
      <c r="D46" s="31">
        <f>(2086/D24)</f>
        <v>0.45486262538159616</v>
      </c>
      <c r="E46" s="31">
        <f>(1886/E24)</f>
        <v>0.35679152478244419</v>
      </c>
      <c r="F46" s="31">
        <f>(8360/F24)</f>
        <v>0.58543417366946782</v>
      </c>
      <c r="G46" s="31">
        <f>(8840/G24)</f>
        <v>0.74410774410774416</v>
      </c>
      <c r="H46" s="31">
        <f>(4000/H24)</f>
        <v>0.45454545454545453</v>
      </c>
      <c r="I46" s="31">
        <f>(1020/I24)</f>
        <v>0.32176656151419558</v>
      </c>
      <c r="J46" s="31">
        <f>(3280/J24)</f>
        <v>0.20372670807453416</v>
      </c>
      <c r="K46" s="31">
        <f>(1500/K24)</f>
        <v>0.27017291066282423</v>
      </c>
      <c r="L46" s="31">
        <f>(3540/L24)</f>
        <v>0.40136054421768708</v>
      </c>
      <c r="M46" s="31">
        <f>(3280/M24)</f>
        <v>0.52063492063492067</v>
      </c>
      <c r="N46" s="31">
        <f>(1212/N24)</f>
        <v>0.27836472209462565</v>
      </c>
      <c r="O46" s="31">
        <f>(3183/O24)</f>
        <v>0.53468839240718968</v>
      </c>
      <c r="P46" s="31">
        <f>(341/P24)</f>
        <v>0.22056921086675291</v>
      </c>
      <c r="Q46" s="31">
        <f>(27/Q24)</f>
        <v>0.10546875</v>
      </c>
      <c r="R46" s="31">
        <f>(1/R24)</f>
        <v>3.5460992907801418E-3</v>
      </c>
      <c r="S46" s="31">
        <f>(163/S24)</f>
        <v>0.13050440352281825</v>
      </c>
      <c r="T46" s="31">
        <f>(243/T24)</f>
        <v>0.13358988455195162</v>
      </c>
      <c r="U46" s="31">
        <f>(800/U24)</f>
        <v>0.2288329519450801</v>
      </c>
      <c r="V46" s="31">
        <f>(11/V24)</f>
        <v>8.9942763695829934E-3</v>
      </c>
      <c r="W46" s="31">
        <f>(240/W24)</f>
        <v>0.15635179153094461</v>
      </c>
      <c r="X46" s="31">
        <f>(157/X24)</f>
        <v>7.3364485981308417E-2</v>
      </c>
      <c r="Y46" s="31">
        <f>(224/Y24)</f>
        <v>0.12633953750705021</v>
      </c>
      <c r="Z46" s="31">
        <f>(88/Z24)</f>
        <v>4.4829342842587876E-2</v>
      </c>
      <c r="AA46" s="31">
        <f>(10/AA24)</f>
        <v>1.3698630136986301E-2</v>
      </c>
      <c r="AB46" s="31">
        <f>(215/AB24)</f>
        <v>0.13354037267080746</v>
      </c>
      <c r="AC46" s="31">
        <f>(578/AC24)</f>
        <v>0.2279179810725552</v>
      </c>
    </row>
    <row r="47" spans="1:29" x14ac:dyDescent="0.3">
      <c r="A47" s="2" t="s">
        <v>31</v>
      </c>
      <c r="B47" s="31">
        <f>(22/B24)</f>
        <v>6.3897763578274758E-3</v>
      </c>
      <c r="C47" s="31">
        <f>(10/C24)</f>
        <v>3.2573289902280132E-3</v>
      </c>
      <c r="D47" s="31">
        <f>(171/D24)</f>
        <v>3.7287396423898819E-2</v>
      </c>
      <c r="E47" s="31">
        <f>(72/E24)</f>
        <v>1.362088535754824E-2</v>
      </c>
      <c r="F47" s="31">
        <f>(0/F24)</f>
        <v>0</v>
      </c>
      <c r="G47" s="31">
        <f>(140/G24)</f>
        <v>1.1784511784511785E-2</v>
      </c>
      <c r="H47" s="31">
        <f>(120/H24)</f>
        <v>1.3636363636363636E-2</v>
      </c>
      <c r="I47" s="31">
        <f>(80/I24)</f>
        <v>2.5236593059936908E-2</v>
      </c>
      <c r="J47" s="31">
        <f>(40/J24)</f>
        <v>2.4844720496894411E-3</v>
      </c>
      <c r="K47" s="31">
        <f>(83/K24)</f>
        <v>1.494956772334294E-2</v>
      </c>
      <c r="L47" s="31">
        <f>(500/L24)</f>
        <v>5.6689342403628121E-2</v>
      </c>
      <c r="M47" s="31">
        <f>(200/M24)</f>
        <v>3.1746031746031744E-2</v>
      </c>
      <c r="N47" s="31">
        <f>(138/N24)</f>
        <v>3.1694993109784103E-2</v>
      </c>
      <c r="O47" s="31">
        <f>(133/O24)</f>
        <v>2.2341676465647574E-2</v>
      </c>
      <c r="P47" s="31">
        <f>(18/P24)</f>
        <v>1.1642949547218629E-2</v>
      </c>
      <c r="Q47" s="31">
        <f>(6/Q24)</f>
        <v>2.34375E-2</v>
      </c>
      <c r="R47" s="31">
        <f>(0/R24)</f>
        <v>0</v>
      </c>
      <c r="S47" s="31">
        <f>(7/S24)</f>
        <v>5.6044835868694952E-3</v>
      </c>
      <c r="T47" s="31">
        <f>(58/T24)</f>
        <v>3.1885651456844417E-2</v>
      </c>
      <c r="U47" s="31">
        <f>(154/U24)</f>
        <v>4.4050343249427915E-2</v>
      </c>
      <c r="V47" s="31">
        <f>(15/V24)</f>
        <v>1.2264922322158627E-2</v>
      </c>
      <c r="W47" s="31">
        <f>(15/W24)</f>
        <v>9.7719869706840382E-3</v>
      </c>
      <c r="X47" s="31">
        <f>(0/X24)</f>
        <v>0</v>
      </c>
      <c r="Y47" s="31">
        <f>(35/Y24)</f>
        <v>1.9740552735476594E-2</v>
      </c>
      <c r="Z47" s="31">
        <f>(63/Z24)</f>
        <v>3.2093734080489045E-2</v>
      </c>
      <c r="AA47" s="31">
        <f>(3/AA24)</f>
        <v>4.10958904109589E-3</v>
      </c>
      <c r="AB47" s="31">
        <f>(25/AB24)</f>
        <v>1.5527950310559006E-2</v>
      </c>
      <c r="AC47" s="31">
        <f>(14/AC24)</f>
        <v>5.5205047318611991E-3</v>
      </c>
    </row>
    <row r="48" spans="1:29" x14ac:dyDescent="0.3">
      <c r="A48" s="2"/>
    </row>
    <row r="49" spans="1:29" x14ac:dyDescent="0.3">
      <c r="A49" s="1" t="s">
        <v>32</v>
      </c>
    </row>
    <row r="50" spans="1:29" x14ac:dyDescent="0.3">
      <c r="A50" s="2" t="s">
        <v>33</v>
      </c>
      <c r="B50" s="31">
        <f>(532/B24)</f>
        <v>0.15451641010746442</v>
      </c>
      <c r="C50" s="31">
        <f>(260/C24)</f>
        <v>8.4690553745928335E-2</v>
      </c>
      <c r="D50" s="31">
        <f>(528/D24)</f>
        <v>0.11513301351940688</v>
      </c>
      <c r="E50" s="31">
        <f>(1229/E24)</f>
        <v>0.23250094589481649</v>
      </c>
      <c r="F50" s="31">
        <f>(1700/F24)</f>
        <v>0.11904761904761904</v>
      </c>
      <c r="G50" s="31">
        <f>(880/G24)</f>
        <v>7.407407407407407E-2</v>
      </c>
      <c r="H50" s="31">
        <f>(1160/H24)</f>
        <v>0.13181818181818181</v>
      </c>
      <c r="I50" s="31">
        <f>(470/I24)</f>
        <v>0.14826498422712933</v>
      </c>
      <c r="J50" s="31">
        <f>(1540/J24)</f>
        <v>9.5652173913043481E-2</v>
      </c>
      <c r="K50" s="31">
        <f>(934/K24)</f>
        <v>0.16822766570605188</v>
      </c>
      <c r="L50" s="31">
        <f>(1060/L24)</f>
        <v>0.12018140589569161</v>
      </c>
      <c r="M50" s="31">
        <f>(460/M24)</f>
        <v>7.301587301587302E-2</v>
      </c>
      <c r="N50" s="31">
        <f>(780/N24)</f>
        <v>0.17914561322921452</v>
      </c>
      <c r="O50" s="31">
        <f>(1035/O24)</f>
        <v>0.1738619183604905</v>
      </c>
      <c r="P50" s="31">
        <f>(175/P24)</f>
        <v>0.11319534282018111</v>
      </c>
      <c r="Q50" s="31">
        <f>(21/Q24)</f>
        <v>8.203125E-2</v>
      </c>
      <c r="R50" s="31">
        <f>(15/R24)</f>
        <v>5.3191489361702128E-2</v>
      </c>
      <c r="S50" s="31">
        <f>(134/S24)</f>
        <v>0.10728582866293035</v>
      </c>
      <c r="T50" s="31">
        <f>(384/T24)</f>
        <v>0.21110500274876307</v>
      </c>
      <c r="U50" s="31">
        <f>(436/U24)</f>
        <v>0.12471395881006865</v>
      </c>
      <c r="V50" s="31">
        <f>(182/V24)</f>
        <v>0.14881439084219134</v>
      </c>
      <c r="W50" s="31">
        <f>(165/W24)</f>
        <v>0.10749185667752444</v>
      </c>
      <c r="X50" s="31">
        <f>(101/X24)</f>
        <v>4.7196261682242988E-2</v>
      </c>
      <c r="Y50" s="31">
        <f>(247/Y24)</f>
        <v>0.13931190073322053</v>
      </c>
      <c r="Z50" s="31">
        <f>(376/Z24)</f>
        <v>0.19154355578196638</v>
      </c>
      <c r="AA50" s="31">
        <f>(9/AA24)</f>
        <v>1.2328767123287671E-2</v>
      </c>
      <c r="AB50" s="31">
        <f>(245/AB24)</f>
        <v>0.15217391304347827</v>
      </c>
      <c r="AC50" s="31">
        <f>(349/AC24)</f>
        <v>0.13761829652996846</v>
      </c>
    </row>
    <row r="51" spans="1:29" x14ac:dyDescent="0.3">
      <c r="A51" s="2" t="s">
        <v>42</v>
      </c>
      <c r="B51" s="31">
        <f>(33/B24)</f>
        <v>9.5846645367412137E-3</v>
      </c>
      <c r="C51" s="31">
        <f>(10/C24)</f>
        <v>3.2573289902280132E-3</v>
      </c>
      <c r="D51" s="31">
        <f>(271/D24)</f>
        <v>5.9092891408634975E-2</v>
      </c>
      <c r="E51" s="31">
        <f>(214/E24)</f>
        <v>4.0484298146046156E-2</v>
      </c>
      <c r="F51" s="31">
        <f>(2500/F24)</f>
        <v>0.17507002801120447</v>
      </c>
      <c r="I51" s="31">
        <f>(10/I24)</f>
        <v>3.1545741324921135E-3</v>
      </c>
      <c r="J51" s="31">
        <f>(100/J24)</f>
        <v>6.2111801242236021E-3</v>
      </c>
      <c r="K51" s="31">
        <f>(184/K24)</f>
        <v>3.3141210374639768E-2</v>
      </c>
      <c r="L51" s="31">
        <f>(20/L24)</f>
        <v>2.2675736961451248E-3</v>
      </c>
      <c r="M51" s="31">
        <f>(140/M24)</f>
        <v>2.2222222222222223E-2</v>
      </c>
      <c r="N51" s="31">
        <f>(864/N24)</f>
        <v>0.19843821773082224</v>
      </c>
      <c r="O51" s="31">
        <f>(567/O24)</f>
        <v>9.5246094406181758E-2</v>
      </c>
      <c r="P51" s="31">
        <f>(45/P24)</f>
        <v>2.9107373868046571E-2</v>
      </c>
      <c r="Q51" s="31">
        <f>(3/Q24)</f>
        <v>1.171875E-2</v>
      </c>
      <c r="R51" s="31">
        <f>(1/R24)</f>
        <v>3.5460992907801418E-3</v>
      </c>
      <c r="S51" s="31">
        <f>(45/S24)</f>
        <v>3.6028823058446756E-2</v>
      </c>
      <c r="T51" s="31">
        <f>(16/T24)</f>
        <v>8.7960417811984611E-3</v>
      </c>
      <c r="U51" s="31">
        <f>(173/U24)</f>
        <v>4.948512585812357E-2</v>
      </c>
      <c r="V51" s="31">
        <f>(23/V24)</f>
        <v>1.8806214227309895E-2</v>
      </c>
      <c r="W51" s="31">
        <f>(70/W24)</f>
        <v>4.5602605863192182E-2</v>
      </c>
      <c r="X51" s="31">
        <f>(25/X24)</f>
        <v>1.1682242990654205E-2</v>
      </c>
      <c r="Y51" s="31">
        <f>(41/Y24)</f>
        <v>2.3124647490129723E-2</v>
      </c>
      <c r="Z51" s="31">
        <f>(225/Z24)</f>
        <v>0.11462047885888946</v>
      </c>
      <c r="AA51" s="31">
        <f>(45/AA24)</f>
        <v>6.1643835616438353E-2</v>
      </c>
      <c r="AB51" s="31">
        <f>(50/AB24)</f>
        <v>3.1055900621118012E-2</v>
      </c>
      <c r="AC51" s="31">
        <f>(149/AC24)</f>
        <v>5.8753943217665618E-2</v>
      </c>
    </row>
    <row r="52" spans="1:29" x14ac:dyDescent="0.3">
      <c r="A52" s="2" t="s">
        <v>43</v>
      </c>
      <c r="B52" s="31">
        <f>(1667/B24)</f>
        <v>0.48417078129538194</v>
      </c>
      <c r="C52" s="31">
        <f>(1680/C24)</f>
        <v>0.54723127035830621</v>
      </c>
      <c r="D52" s="31">
        <f>(1443/D24)</f>
        <v>0.31465329262974268</v>
      </c>
      <c r="E52" s="31">
        <f>(2699/E24)</f>
        <v>0.51059402194475978</v>
      </c>
      <c r="F52" s="31">
        <f>(8720/F24)</f>
        <v>0.61064425770308128</v>
      </c>
      <c r="G52" s="31">
        <f>(2320/G24)</f>
        <v>0.19528619528619529</v>
      </c>
      <c r="H52" s="31">
        <f>(4260/H24)</f>
        <v>0.48409090909090907</v>
      </c>
      <c r="I52" s="31">
        <f>(1370/I24)</f>
        <v>0.43217665615141954</v>
      </c>
      <c r="J52" s="31">
        <f>(7820/J24)</f>
        <v>0.48571428571428571</v>
      </c>
      <c r="K52" s="31">
        <f>(2433/K24)</f>
        <v>0.43822046109510088</v>
      </c>
      <c r="L52" s="31">
        <f>(4060/L24)</f>
        <v>0.46031746031746029</v>
      </c>
      <c r="M52" s="31">
        <f>(4160/M24)</f>
        <v>0.6603174603174603</v>
      </c>
      <c r="N52" s="31">
        <f>(915/N24)</f>
        <v>0.21015158474965548</v>
      </c>
      <c r="O52" s="31">
        <f>(3683/O24)</f>
        <v>0.61867965731563912</v>
      </c>
      <c r="P52" s="31">
        <f>(1165/P24)</f>
        <v>0.75355756791720574</v>
      </c>
      <c r="Q52" s="31">
        <f>(184/Q24)</f>
        <v>0.71875</v>
      </c>
      <c r="R52" s="31">
        <f>(238/R24)</f>
        <v>0.84397163120567376</v>
      </c>
      <c r="S52" s="31">
        <f>(779/S24)</f>
        <v>0.62369895916733387</v>
      </c>
      <c r="T52" s="31">
        <f>(1192/T24)</f>
        <v>0.65530511269928537</v>
      </c>
      <c r="U52" s="31">
        <f>(2006/U24)</f>
        <v>0.57379862700228834</v>
      </c>
      <c r="V52" s="31">
        <f>(774/V24)</f>
        <v>0.6328699918233851</v>
      </c>
      <c r="W52" s="31">
        <f>(875/W24)</f>
        <v>0.57003257328990231</v>
      </c>
      <c r="X52" s="31">
        <f>(1294/X24)</f>
        <v>0.60467289719626172</v>
      </c>
      <c r="Y52" s="31">
        <f>(1313/Y24)</f>
        <v>0.74055273547659339</v>
      </c>
      <c r="Z52" s="31">
        <f>(725/Z24)</f>
        <v>0.36933265410086602</v>
      </c>
      <c r="AA52" s="31">
        <f>(596/AA24)</f>
        <v>0.81643835616438354</v>
      </c>
      <c r="AB52" s="31">
        <f>(1140/AB24)</f>
        <v>0.70807453416149069</v>
      </c>
      <c r="AC52" s="31">
        <f>(1419/AC24)</f>
        <v>0.55954258675078861</v>
      </c>
    </row>
    <row r="53" spans="1:29" x14ac:dyDescent="0.3">
      <c r="A53" s="2" t="s">
        <v>34</v>
      </c>
      <c r="B53" s="31">
        <f>(145/B24)</f>
        <v>4.2114435085681093E-2</v>
      </c>
      <c r="C53" s="31">
        <f>(10/C24)</f>
        <v>3.2573289902280132E-3</v>
      </c>
      <c r="D53" s="31">
        <f>(186/D24)</f>
        <v>4.0558220671609246E-2</v>
      </c>
      <c r="E53" s="31">
        <f>(100/E24)</f>
        <v>1.8917896329928113E-2</v>
      </c>
      <c r="F53" s="31">
        <f>(460/F24)</f>
        <v>3.2212885154061621E-2</v>
      </c>
      <c r="G53" s="31">
        <f>(60/G24)</f>
        <v>5.0505050505050509E-3</v>
      </c>
      <c r="H53" s="31">
        <f>(60/H24)</f>
        <v>6.8181818181818179E-3</v>
      </c>
      <c r="I53" s="31">
        <f>(90/I24)</f>
        <v>2.8391167192429023E-2</v>
      </c>
      <c r="J53" s="31">
        <f>(360/J24)</f>
        <v>2.236024844720497E-2</v>
      </c>
      <c r="L53" s="31">
        <f>(280/L24)</f>
        <v>3.1746031746031744E-2</v>
      </c>
      <c r="M53" s="31">
        <f>(120/M24)</f>
        <v>1.9047619047619049E-2</v>
      </c>
      <c r="N53" s="31">
        <f>(103/N24)</f>
        <v>2.3656407900780892E-2</v>
      </c>
      <c r="O53" s="31">
        <f>(50/O24)</f>
        <v>8.3991264908449513E-3</v>
      </c>
      <c r="P53" s="31">
        <f>(5/P24)</f>
        <v>3.2341526520051748E-3</v>
      </c>
      <c r="Q53" s="31">
        <f>(2/Q24)</f>
        <v>7.8125E-3</v>
      </c>
      <c r="R53" s="31">
        <f>(6/R24)</f>
        <v>2.1276595744680851E-2</v>
      </c>
      <c r="S53" s="31">
        <f>(57/S24)</f>
        <v>4.5636509207365894E-2</v>
      </c>
      <c r="U53" s="31">
        <f>(200/U24)</f>
        <v>5.7208237986270026E-2</v>
      </c>
      <c r="V53" s="31">
        <f>(100/V24)</f>
        <v>8.1766148814390843E-2</v>
      </c>
      <c r="W53" s="31">
        <f>(90/W24)</f>
        <v>5.8631921824104233E-2</v>
      </c>
      <c r="X53" s="31">
        <f>(31/X24)</f>
        <v>1.4485981308411215E-2</v>
      </c>
      <c r="Y53" s="31">
        <f>(54/Y24)</f>
        <v>3.0456852791878174E-2</v>
      </c>
      <c r="Z53" s="31">
        <f>(288/Z24)</f>
        <v>0.1467142129393785</v>
      </c>
      <c r="AA53" s="31">
        <f>(13/AA24)</f>
        <v>1.7808219178082191E-2</v>
      </c>
      <c r="AB53" s="31">
        <f>(50/AB24)</f>
        <v>3.1055900621118012E-2</v>
      </c>
      <c r="AC53" s="31">
        <f>(114/AC24)</f>
        <v>4.4952681388012616E-2</v>
      </c>
    </row>
    <row r="54" spans="1:29" x14ac:dyDescent="0.3">
      <c r="A54" s="2" t="s">
        <v>44</v>
      </c>
      <c r="M54" s="31">
        <f>(20/M24)</f>
        <v>3.1746031746031746E-3</v>
      </c>
      <c r="S54" s="31">
        <f>(19/S24)</f>
        <v>1.5212169735788631E-2</v>
      </c>
      <c r="W54" s="31">
        <f>(25/W24)</f>
        <v>1.6286644951140065E-2</v>
      </c>
      <c r="AB54" s="31">
        <f>(10/AB24)</f>
        <v>6.2111801242236021E-3</v>
      </c>
      <c r="AC54" s="31">
        <f>(7/AC24)</f>
        <v>2.7602523659305996E-3</v>
      </c>
    </row>
    <row r="55" spans="1:29" x14ac:dyDescent="0.3">
      <c r="A55" s="2" t="s">
        <v>45</v>
      </c>
      <c r="B55" s="31">
        <f>(922/B24)</f>
        <v>0.26778971826895148</v>
      </c>
      <c r="C55" s="31">
        <f>(230/C24)</f>
        <v>7.4918566775244305E-2</v>
      </c>
      <c r="D55" s="31">
        <f>(1700/D24)</f>
        <v>0.37069341474051459</v>
      </c>
      <c r="E55" s="31">
        <f>(429/E24)</f>
        <v>8.1157775255391598E-2</v>
      </c>
      <c r="F55" s="31">
        <f>(660/F24)</f>
        <v>4.6218487394957986E-2</v>
      </c>
      <c r="G55" s="31">
        <f>(8260/G24)</f>
        <v>0.69528619528619529</v>
      </c>
      <c r="H55" s="31">
        <f>(2660/H24)</f>
        <v>0.30227272727272725</v>
      </c>
      <c r="I55" s="31">
        <f>(960/I24)</f>
        <v>0.30283911671924291</v>
      </c>
      <c r="J55" s="31">
        <f>(3280/J24)</f>
        <v>0.20372670807453416</v>
      </c>
      <c r="K55" s="31">
        <f>(817/K24)</f>
        <v>0.14715417867435157</v>
      </c>
      <c r="L55" s="31">
        <f>(1840/L24)</f>
        <v>0.20861678004535147</v>
      </c>
      <c r="M55" s="31">
        <f>(940/M24)</f>
        <v>0.1492063492063492</v>
      </c>
      <c r="N55" s="31">
        <f>(938/N24)</f>
        <v>0.21543408360128619</v>
      </c>
      <c r="O55" s="31">
        <f>(267/O24)</f>
        <v>4.4851335461112044E-2</v>
      </c>
      <c r="P55" s="31">
        <f>(127/P24)</f>
        <v>8.2147477360931434E-2</v>
      </c>
      <c r="Q55" s="31">
        <f>(37/Q24)</f>
        <v>0.14453125</v>
      </c>
      <c r="R55" s="31">
        <f>(3/R24)</f>
        <v>1.0638297872340425E-2</v>
      </c>
      <c r="S55" s="31">
        <f>(130/S24)</f>
        <v>0.10408326661329063</v>
      </c>
      <c r="T55" s="31">
        <f>(95/T24)</f>
        <v>5.2226498075865858E-2</v>
      </c>
      <c r="U55" s="31">
        <f>(327/U24)</f>
        <v>9.3535469107551492E-2</v>
      </c>
      <c r="V55" s="31">
        <f>(27/V24)</f>
        <v>2.2076860179885527E-2</v>
      </c>
      <c r="W55" s="31">
        <f>(120/W24)</f>
        <v>7.8175895765472306E-2</v>
      </c>
      <c r="X55" s="31">
        <f>(113/X24)</f>
        <v>5.2803738317757011E-2</v>
      </c>
      <c r="Y55" s="31">
        <f>(47/Y24)</f>
        <v>2.6508742244782856E-2</v>
      </c>
      <c r="Z55" s="31">
        <f>(232/Z24)</f>
        <v>0.11818644931227713</v>
      </c>
      <c r="AA55" s="31">
        <f>(38/AA24)</f>
        <v>5.2054794520547946E-2</v>
      </c>
      <c r="AB55" s="31">
        <f>(50/AB24)</f>
        <v>3.1055900621118012E-2</v>
      </c>
      <c r="AC55" s="31">
        <f>(199/AC24)</f>
        <v>7.8470031545741323E-2</v>
      </c>
    </row>
    <row r="56" spans="1:29" x14ac:dyDescent="0.3">
      <c r="A56" s="2" t="s">
        <v>46</v>
      </c>
      <c r="C56" s="31">
        <f>(110/C24)</f>
        <v>3.5830618892508145E-2</v>
      </c>
      <c r="D56" s="31">
        <f>(29/D24)</f>
        <v>6.3235935455734846E-3</v>
      </c>
      <c r="E56" s="31">
        <f>(86/E24)</f>
        <v>1.6269390843738175E-2</v>
      </c>
      <c r="F56" s="31">
        <f>(40/F24)</f>
        <v>2.8011204481792717E-3</v>
      </c>
      <c r="G56" s="31">
        <f>(160/G24)</f>
        <v>1.3468013468013467E-2</v>
      </c>
      <c r="J56" s="31">
        <f>(100/J24)</f>
        <v>6.2111801242236021E-3</v>
      </c>
      <c r="K56" s="31">
        <f>(67/K24)</f>
        <v>1.2067723342939481E-2</v>
      </c>
      <c r="L56" s="31">
        <f>(200/L24)</f>
        <v>2.2675736961451247E-2</v>
      </c>
      <c r="M56" s="31">
        <f>(100/M24)</f>
        <v>1.5873015873015872E-2</v>
      </c>
      <c r="N56" s="31">
        <f>(26/N24)</f>
        <v>5.9715204409738175E-3</v>
      </c>
      <c r="P56" s="31">
        <f>(14/P24)</f>
        <v>9.0556274256144882E-3</v>
      </c>
      <c r="R56" s="31">
        <f>(1/R24)</f>
        <v>3.5460992907801418E-3</v>
      </c>
      <c r="S56" s="31">
        <f>(15/S24)</f>
        <v>1.2009607686148919E-2</v>
      </c>
      <c r="T56" s="31">
        <f>(32/T24)</f>
        <v>1.7592083562396922E-2</v>
      </c>
      <c r="U56" s="31">
        <f>(91/U24)</f>
        <v>2.602974828375286E-2</v>
      </c>
      <c r="V56" s="31">
        <f>(89/V24)</f>
        <v>7.2771872444807845E-2</v>
      </c>
      <c r="W56" s="31">
        <f>(145/W24)</f>
        <v>9.4462540716612378E-2</v>
      </c>
      <c r="X56" s="31">
        <f>(107/X24)</f>
        <v>0.05</v>
      </c>
      <c r="Y56" s="31">
        <f>(59/Y24)</f>
        <v>3.3276931754089113E-2</v>
      </c>
      <c r="Z56" s="31">
        <f>(56/Z24)</f>
        <v>2.8527763627101375E-2</v>
      </c>
      <c r="AA56" s="31">
        <f>(6/AA24)</f>
        <v>8.21917808219178E-3</v>
      </c>
      <c r="AB56" s="31">
        <f>(20/AB24)</f>
        <v>1.2422360248447204E-2</v>
      </c>
      <c r="AC56" s="31">
        <f>(21/AC24)</f>
        <v>8.2807570977917987E-3</v>
      </c>
    </row>
    <row r="57" spans="1:29" x14ac:dyDescent="0.3">
      <c r="A57" s="2" t="s">
        <v>47</v>
      </c>
    </row>
    <row r="58" spans="1:29" x14ac:dyDescent="0.3">
      <c r="A58" s="2" t="s">
        <v>48</v>
      </c>
      <c r="C58" s="31">
        <f>(10/C24)</f>
        <v>3.2573289902280132E-3</v>
      </c>
      <c r="D58" s="31">
        <f>(14/D24)</f>
        <v>3.0527692978630614E-3</v>
      </c>
      <c r="E58" s="31">
        <f>(71/E24)</f>
        <v>1.343170639424896E-2</v>
      </c>
      <c r="H58" s="31">
        <f>(40/H24)</f>
        <v>4.5454545454545452E-3</v>
      </c>
      <c r="J58" s="31">
        <f>(20/J24)</f>
        <v>1.2422360248447205E-3</v>
      </c>
      <c r="K58" s="31">
        <f>(33/K24)</f>
        <v>5.9438040345821327E-3</v>
      </c>
      <c r="L58" s="31">
        <f>(40/L24)</f>
        <v>4.5351473922902496E-3</v>
      </c>
      <c r="M58" s="31">
        <f>(20/M24)</f>
        <v>3.1746031746031746E-3</v>
      </c>
      <c r="N58" s="31">
        <f>(50/N24)</f>
        <v>1.1483693155718878E-2</v>
      </c>
      <c r="O58" s="31">
        <f>(33/O24)</f>
        <v>5.5434234839576687E-3</v>
      </c>
      <c r="R58" s="31">
        <f>(2/R24)</f>
        <v>7.0921985815602835E-3</v>
      </c>
      <c r="U58" s="31">
        <f>(109/U24)</f>
        <v>3.1178489702517163E-2</v>
      </c>
      <c r="V58" s="31">
        <f>(4/V24)</f>
        <v>3.2706459525756338E-3</v>
      </c>
      <c r="X58" s="31">
        <f>(12/X24)</f>
        <v>5.6074766355140183E-3</v>
      </c>
      <c r="Z58" s="31">
        <f>(6/Z24)</f>
        <v>3.0565461029037188E-3</v>
      </c>
      <c r="AB58" s="31">
        <f>(5/AB24)</f>
        <v>3.105590062111801E-3</v>
      </c>
      <c r="AC58" s="31">
        <f>(57/AC24)</f>
        <v>2.2476340694006308E-2</v>
      </c>
    </row>
    <row r="59" spans="1:29" x14ac:dyDescent="0.3">
      <c r="A59" s="2" t="s">
        <v>49</v>
      </c>
    </row>
    <row r="60" spans="1:29" x14ac:dyDescent="0.3">
      <c r="A60" s="2" t="s">
        <v>35</v>
      </c>
      <c r="B60" s="31">
        <f t="shared" ref="B60:O60" si="18">1 - SUM(B50:B59)</f>
        <v>4.1823990705779801E-2</v>
      </c>
      <c r="C60" s="31">
        <f t="shared" si="18"/>
        <v>0.24755700325732888</v>
      </c>
      <c r="D60" s="31">
        <f t="shared" si="18"/>
        <v>9.0492804186655285E-2</v>
      </c>
      <c r="E60" s="31">
        <f t="shared" si="18"/>
        <v>8.664396519107076E-2</v>
      </c>
      <c r="F60" s="31">
        <f t="shared" si="18"/>
        <v>1.4005602240896309E-2</v>
      </c>
      <c r="G60" s="31">
        <f t="shared" si="18"/>
        <v>1.6835016835016758E-2</v>
      </c>
      <c r="H60" s="31">
        <f t="shared" si="18"/>
        <v>7.0454545454545547E-2</v>
      </c>
      <c r="I60" s="31">
        <f t="shared" si="18"/>
        <v>8.5173501577287092E-2</v>
      </c>
      <c r="J60" s="31">
        <f t="shared" si="18"/>
        <v>0.17888198757763973</v>
      </c>
      <c r="K60" s="31">
        <f t="shared" si="18"/>
        <v>0.19524495677233422</v>
      </c>
      <c r="L60" s="31">
        <f t="shared" si="18"/>
        <v>0.1496598639455784</v>
      </c>
      <c r="M60" s="31">
        <f t="shared" si="18"/>
        <v>5.3968253968253999E-2</v>
      </c>
      <c r="N60" s="31">
        <f t="shared" si="18"/>
        <v>0.15571887919154792</v>
      </c>
      <c r="O60" s="31">
        <f t="shared" si="18"/>
        <v>5.3418444481773908E-2</v>
      </c>
      <c r="P60" s="31">
        <f t="shared" ref="P60:Q60" si="19">1 - SUM(P50:P59)</f>
        <v>9.7024579560154312E-3</v>
      </c>
      <c r="Q60" s="31">
        <f t="shared" si="19"/>
        <v>3.515625E-2</v>
      </c>
      <c r="R60" s="31">
        <f t="shared" ref="R60:AC60" si="20">1 - SUM(R50:R59)</f>
        <v>5.6737588652482351E-2</v>
      </c>
      <c r="S60" s="31">
        <f t="shared" si="20"/>
        <v>5.6044835868694909E-2</v>
      </c>
      <c r="T60" s="31">
        <f t="shared" si="20"/>
        <v>5.4975261132490294E-2</v>
      </c>
      <c r="U60" s="31">
        <f t="shared" si="20"/>
        <v>4.4050343249427915E-2</v>
      </c>
      <c r="V60" s="31">
        <f t="shared" si="20"/>
        <v>1.9623875715453765E-2</v>
      </c>
      <c r="W60" s="31">
        <f t="shared" si="20"/>
        <v>2.9315960912051908E-2</v>
      </c>
      <c r="X60" s="31">
        <f t="shared" si="20"/>
        <v>0.21355140186915889</v>
      </c>
      <c r="Y60" s="31">
        <f t="shared" si="20"/>
        <v>6.7681895093063549E-3</v>
      </c>
      <c r="Z60" s="31">
        <f t="shared" si="20"/>
        <v>2.8018339276617343E-2</v>
      </c>
      <c r="AA60" s="31">
        <f t="shared" si="20"/>
        <v>3.150684931506853E-2</v>
      </c>
      <c r="AB60" s="31">
        <f t="shared" si="20"/>
        <v>2.4844720496894568E-2</v>
      </c>
      <c r="AC60" s="31">
        <f t="shared" si="20"/>
        <v>8.7145110410094762E-2</v>
      </c>
    </row>
    <row r="61" spans="1:29" x14ac:dyDescent="0.3">
      <c r="A61" s="2"/>
    </row>
    <row r="62" spans="1:29" x14ac:dyDescent="0.3">
      <c r="A62" s="1" t="s">
        <v>58</v>
      </c>
    </row>
    <row r="63" spans="1:29" x14ac:dyDescent="0.3">
      <c r="A63" s="2" t="s">
        <v>50</v>
      </c>
      <c r="B63">
        <v>9</v>
      </c>
      <c r="C63">
        <v>8</v>
      </c>
      <c r="D63">
        <v>11</v>
      </c>
      <c r="E63">
        <v>10</v>
      </c>
      <c r="F63">
        <v>10</v>
      </c>
      <c r="G63">
        <v>9</v>
      </c>
      <c r="H63">
        <v>11</v>
      </c>
      <c r="I63">
        <v>11</v>
      </c>
      <c r="J63">
        <v>10</v>
      </c>
      <c r="K63">
        <v>10</v>
      </c>
      <c r="L63">
        <v>10</v>
      </c>
      <c r="M63">
        <v>7</v>
      </c>
      <c r="N63">
        <v>13</v>
      </c>
      <c r="O63">
        <v>11</v>
      </c>
      <c r="P63">
        <v>7</v>
      </c>
      <c r="Q63">
        <v>9</v>
      </c>
      <c r="R63">
        <v>6</v>
      </c>
      <c r="S63">
        <v>10</v>
      </c>
      <c r="T63">
        <v>9</v>
      </c>
      <c r="U63">
        <v>13</v>
      </c>
      <c r="V63">
        <v>11</v>
      </c>
      <c r="W63">
        <v>6</v>
      </c>
      <c r="X63">
        <v>7</v>
      </c>
      <c r="Y63">
        <v>9</v>
      </c>
      <c r="Z63">
        <v>13</v>
      </c>
      <c r="AA63">
        <v>3</v>
      </c>
      <c r="AB63">
        <v>7</v>
      </c>
      <c r="AC63">
        <v>8</v>
      </c>
    </row>
    <row r="64" spans="1:29" x14ac:dyDescent="0.3">
      <c r="A64" s="2" t="s">
        <v>51</v>
      </c>
      <c r="B64">
        <v>1</v>
      </c>
      <c r="C64">
        <v>1</v>
      </c>
      <c r="D64">
        <v>3</v>
      </c>
      <c r="E64">
        <v>4</v>
      </c>
      <c r="F64">
        <v>3</v>
      </c>
      <c r="I64">
        <v>1</v>
      </c>
      <c r="J64">
        <v>2</v>
      </c>
      <c r="K64">
        <v>2</v>
      </c>
      <c r="L64">
        <v>1</v>
      </c>
      <c r="M64">
        <v>2</v>
      </c>
      <c r="N64">
        <v>4</v>
      </c>
      <c r="O64">
        <v>3</v>
      </c>
      <c r="P64">
        <v>2</v>
      </c>
      <c r="Q64">
        <v>2</v>
      </c>
      <c r="R64">
        <v>1</v>
      </c>
      <c r="S64">
        <v>2</v>
      </c>
      <c r="T64">
        <v>2</v>
      </c>
      <c r="U64">
        <v>4</v>
      </c>
      <c r="V64">
        <v>2</v>
      </c>
      <c r="W64">
        <v>1</v>
      </c>
      <c r="X64">
        <v>3</v>
      </c>
      <c r="Y64">
        <v>2</v>
      </c>
      <c r="Z64">
        <v>3</v>
      </c>
      <c r="AA64">
        <v>2</v>
      </c>
      <c r="AB64">
        <v>2</v>
      </c>
      <c r="AC64">
        <v>3</v>
      </c>
    </row>
    <row r="65" spans="1:29" x14ac:dyDescent="0.3">
      <c r="A65" s="2" t="s">
        <v>52</v>
      </c>
      <c r="B65">
        <v>12</v>
      </c>
      <c r="C65">
        <v>15</v>
      </c>
      <c r="D65">
        <v>15</v>
      </c>
      <c r="E65">
        <v>14</v>
      </c>
      <c r="F65">
        <v>14</v>
      </c>
      <c r="G65">
        <v>12</v>
      </c>
      <c r="H65">
        <v>17</v>
      </c>
      <c r="I65">
        <v>11</v>
      </c>
      <c r="J65">
        <v>16</v>
      </c>
      <c r="K65">
        <v>10</v>
      </c>
      <c r="L65">
        <v>14</v>
      </c>
      <c r="M65">
        <v>11</v>
      </c>
      <c r="N65">
        <v>12</v>
      </c>
      <c r="O65">
        <v>11</v>
      </c>
      <c r="P65">
        <v>18</v>
      </c>
      <c r="Q65">
        <v>8</v>
      </c>
      <c r="R65">
        <v>9</v>
      </c>
      <c r="S65">
        <v>14</v>
      </c>
      <c r="T65">
        <v>22</v>
      </c>
      <c r="U65">
        <v>21</v>
      </c>
      <c r="V65">
        <v>9</v>
      </c>
      <c r="W65">
        <v>12</v>
      </c>
      <c r="X65">
        <v>21</v>
      </c>
      <c r="Y65">
        <v>13</v>
      </c>
      <c r="Z65">
        <v>16</v>
      </c>
      <c r="AA65">
        <v>9</v>
      </c>
      <c r="AB65">
        <v>18</v>
      </c>
      <c r="AC65">
        <v>22</v>
      </c>
    </row>
    <row r="66" spans="1:29" x14ac:dyDescent="0.3">
      <c r="A66" s="2" t="s">
        <v>53</v>
      </c>
      <c r="B66">
        <v>2</v>
      </c>
      <c r="C66">
        <v>1</v>
      </c>
      <c r="D66">
        <v>4</v>
      </c>
      <c r="E66">
        <v>3</v>
      </c>
      <c r="F66">
        <v>5</v>
      </c>
      <c r="G66">
        <v>1</v>
      </c>
      <c r="H66">
        <v>2</v>
      </c>
      <c r="I66">
        <v>3</v>
      </c>
      <c r="J66">
        <v>5</v>
      </c>
      <c r="L66">
        <v>2</v>
      </c>
      <c r="M66">
        <v>4</v>
      </c>
      <c r="N66">
        <v>6</v>
      </c>
      <c r="O66">
        <v>1</v>
      </c>
      <c r="P66">
        <v>1</v>
      </c>
      <c r="Q66">
        <v>2</v>
      </c>
      <c r="R66">
        <v>2</v>
      </c>
      <c r="S66">
        <v>5</v>
      </c>
      <c r="U66">
        <v>3</v>
      </c>
      <c r="V66">
        <v>3</v>
      </c>
      <c r="W66">
        <v>4</v>
      </c>
      <c r="X66">
        <v>2</v>
      </c>
      <c r="Y66">
        <v>4</v>
      </c>
      <c r="Z66">
        <v>4</v>
      </c>
      <c r="AA66">
        <v>3</v>
      </c>
      <c r="AB66">
        <v>2</v>
      </c>
      <c r="AC66">
        <v>2</v>
      </c>
    </row>
    <row r="67" spans="1:29" x14ac:dyDescent="0.3">
      <c r="A67" s="2" t="s">
        <v>54</v>
      </c>
      <c r="M67">
        <v>1</v>
      </c>
      <c r="S67">
        <v>1</v>
      </c>
      <c r="W67">
        <v>1</v>
      </c>
      <c r="AB67">
        <v>1</v>
      </c>
      <c r="AC67">
        <v>1</v>
      </c>
    </row>
    <row r="68" spans="1:29" x14ac:dyDescent="0.3">
      <c r="A68" s="2" t="s">
        <v>55</v>
      </c>
      <c r="B68">
        <v>3</v>
      </c>
      <c r="C68">
        <v>4</v>
      </c>
      <c r="D68">
        <v>7</v>
      </c>
      <c r="E68">
        <v>5</v>
      </c>
      <c r="F68">
        <v>6</v>
      </c>
      <c r="G68">
        <v>2</v>
      </c>
      <c r="H68">
        <v>5</v>
      </c>
      <c r="I68">
        <v>3</v>
      </c>
      <c r="J68">
        <v>7</v>
      </c>
      <c r="K68">
        <v>4</v>
      </c>
      <c r="L68">
        <v>8</v>
      </c>
      <c r="M68">
        <v>7</v>
      </c>
      <c r="N68">
        <v>6</v>
      </c>
      <c r="O68">
        <v>4</v>
      </c>
      <c r="P68">
        <v>2</v>
      </c>
      <c r="Q68">
        <v>4</v>
      </c>
      <c r="R68">
        <v>2</v>
      </c>
      <c r="S68">
        <v>4</v>
      </c>
      <c r="T68">
        <v>5</v>
      </c>
      <c r="U68">
        <v>9</v>
      </c>
      <c r="V68">
        <v>2</v>
      </c>
      <c r="W68">
        <v>5</v>
      </c>
      <c r="X68">
        <v>4</v>
      </c>
      <c r="Y68">
        <v>2</v>
      </c>
      <c r="Z68">
        <v>5</v>
      </c>
      <c r="AA68">
        <v>3</v>
      </c>
      <c r="AB68">
        <v>5</v>
      </c>
      <c r="AC68">
        <v>8</v>
      </c>
    </row>
    <row r="69" spans="1:29" x14ac:dyDescent="0.3">
      <c r="A69" s="2" t="s">
        <v>56</v>
      </c>
      <c r="C69">
        <v>1</v>
      </c>
      <c r="D69">
        <v>1</v>
      </c>
      <c r="E69">
        <v>1</v>
      </c>
      <c r="F69">
        <v>2</v>
      </c>
      <c r="G69">
        <v>2</v>
      </c>
      <c r="J69">
        <v>1</v>
      </c>
      <c r="K69">
        <v>1</v>
      </c>
      <c r="L69">
        <v>2</v>
      </c>
      <c r="M69">
        <v>2</v>
      </c>
      <c r="N69">
        <v>2</v>
      </c>
      <c r="P69">
        <v>2</v>
      </c>
      <c r="R69">
        <v>1</v>
      </c>
      <c r="S69">
        <v>3</v>
      </c>
      <c r="T69">
        <v>2</v>
      </c>
      <c r="U69">
        <v>4</v>
      </c>
      <c r="V69">
        <v>3</v>
      </c>
      <c r="W69">
        <v>4</v>
      </c>
      <c r="X69">
        <v>4</v>
      </c>
      <c r="Y69">
        <v>2</v>
      </c>
      <c r="Z69">
        <v>3</v>
      </c>
      <c r="AA69">
        <v>2</v>
      </c>
      <c r="AB69">
        <v>2</v>
      </c>
      <c r="AC69">
        <v>1</v>
      </c>
    </row>
    <row r="70" spans="1:29" x14ac:dyDescent="0.3">
      <c r="A70" s="2" t="s">
        <v>57</v>
      </c>
    </row>
    <row r="71" spans="1:29" x14ac:dyDescent="0.3">
      <c r="A71" s="2" t="s">
        <v>37</v>
      </c>
      <c r="C71">
        <v>1</v>
      </c>
      <c r="D71">
        <v>1</v>
      </c>
      <c r="E71">
        <v>1</v>
      </c>
      <c r="H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R71">
        <v>1</v>
      </c>
      <c r="U71">
        <v>1</v>
      </c>
      <c r="V71">
        <v>1</v>
      </c>
      <c r="X71">
        <v>2</v>
      </c>
      <c r="Z71">
        <v>1</v>
      </c>
      <c r="AB71">
        <v>1</v>
      </c>
      <c r="AC71">
        <v>1</v>
      </c>
    </row>
    <row r="72" spans="1:29" x14ac:dyDescent="0.3">
      <c r="A72" s="2" t="s">
        <v>36</v>
      </c>
    </row>
    <row r="73" spans="1:29" x14ac:dyDescent="0.3">
      <c r="A73" s="2" t="s">
        <v>38</v>
      </c>
      <c r="B73">
        <f t="shared" ref="B73:O73" si="21">B14 - SUM(B63:B72)</f>
        <v>4</v>
      </c>
      <c r="C73">
        <f t="shared" si="21"/>
        <v>9</v>
      </c>
      <c r="D73">
        <f t="shared" si="21"/>
        <v>8</v>
      </c>
      <c r="E73">
        <f t="shared" si="21"/>
        <v>7</v>
      </c>
      <c r="F73">
        <f t="shared" si="21"/>
        <v>6</v>
      </c>
      <c r="G73">
        <f t="shared" si="21"/>
        <v>3</v>
      </c>
      <c r="H73">
        <f t="shared" si="21"/>
        <v>5</v>
      </c>
      <c r="I73">
        <f t="shared" si="21"/>
        <v>6</v>
      </c>
      <c r="J73">
        <f t="shared" si="21"/>
        <v>9</v>
      </c>
      <c r="K73">
        <f t="shared" si="21"/>
        <v>7</v>
      </c>
      <c r="L73">
        <f t="shared" si="21"/>
        <v>6</v>
      </c>
      <c r="M73">
        <f t="shared" si="21"/>
        <v>5</v>
      </c>
      <c r="N73">
        <f t="shared" si="21"/>
        <v>11</v>
      </c>
      <c r="O73">
        <f t="shared" si="21"/>
        <v>7</v>
      </c>
      <c r="P73">
        <f t="shared" ref="P73:Q73" si="22">P14 - SUM(P63:P72)</f>
        <v>3</v>
      </c>
      <c r="Q73">
        <f t="shared" si="22"/>
        <v>4</v>
      </c>
      <c r="R73">
        <f t="shared" ref="R73:AC73" si="23">R14 - SUM(R63:R72)</f>
        <v>7</v>
      </c>
      <c r="S73">
        <f t="shared" si="23"/>
        <v>2</v>
      </c>
      <c r="T73">
        <f t="shared" si="23"/>
        <v>4</v>
      </c>
      <c r="U73">
        <f t="shared" si="23"/>
        <v>4</v>
      </c>
      <c r="V73">
        <f t="shared" si="23"/>
        <v>4</v>
      </c>
      <c r="W73">
        <f t="shared" si="23"/>
        <v>4</v>
      </c>
      <c r="X73">
        <f t="shared" si="23"/>
        <v>10</v>
      </c>
      <c r="Y73">
        <f t="shared" si="23"/>
        <v>1</v>
      </c>
      <c r="Z73">
        <f t="shared" si="23"/>
        <v>5</v>
      </c>
      <c r="AA73">
        <f t="shared" si="23"/>
        <v>4</v>
      </c>
      <c r="AB73">
        <f t="shared" si="23"/>
        <v>4</v>
      </c>
      <c r="AC73">
        <f t="shared" si="23"/>
        <v>3</v>
      </c>
    </row>
    <row r="74" spans="1:29" x14ac:dyDescent="0.3">
      <c r="A74" s="2"/>
    </row>
    <row r="75" spans="1:29" x14ac:dyDescent="0.3">
      <c r="A75" s="1" t="s">
        <v>39</v>
      </c>
    </row>
    <row r="76" spans="1:29" x14ac:dyDescent="0.3">
      <c r="A76" s="2" t="s">
        <v>77</v>
      </c>
      <c r="B76" s="30">
        <v>1.0537223979616099</v>
      </c>
      <c r="C76" s="30">
        <v>1.2435911948121201</v>
      </c>
      <c r="D76" s="30">
        <v>1.3897955158130999</v>
      </c>
      <c r="E76" s="30">
        <v>1.40299781012667</v>
      </c>
      <c r="F76" s="30">
        <v>1.05030891094067</v>
      </c>
      <c r="G76" s="30">
        <v>0.63001563540902505</v>
      </c>
      <c r="H76" s="30">
        <v>1.2520332310207001</v>
      </c>
      <c r="I76" s="30">
        <v>1.2594431060623099</v>
      </c>
      <c r="J76" s="30">
        <v>1.2930232473763701</v>
      </c>
      <c r="K76" s="30">
        <v>1.1951985676350501</v>
      </c>
      <c r="L76" s="30">
        <v>1.33502864626308</v>
      </c>
      <c r="M76" s="30">
        <v>1.02358866301934</v>
      </c>
      <c r="N76" s="30">
        <v>1.5390581783966799</v>
      </c>
      <c r="O76" s="30">
        <v>1.25378105201209</v>
      </c>
      <c r="P76" s="30">
        <v>1.15609313540855</v>
      </c>
      <c r="Q76" s="30">
        <v>0.79220113701308403</v>
      </c>
      <c r="R76" s="30">
        <v>1.0319592364847601</v>
      </c>
      <c r="S76" s="30">
        <v>1.1555800344842</v>
      </c>
      <c r="T76" s="30">
        <v>1.1696468135889699</v>
      </c>
      <c r="U76" s="30">
        <v>1.48327621474564</v>
      </c>
      <c r="V76" s="30">
        <v>0.95710629480397802</v>
      </c>
      <c r="W76" s="30">
        <v>1.1415340175573201</v>
      </c>
      <c r="X76" s="30">
        <v>1.3324609353335599</v>
      </c>
      <c r="Y76" s="30">
        <v>0.94171620661867805</v>
      </c>
      <c r="Z76" s="30">
        <v>1.38781745236939</v>
      </c>
      <c r="AA76" s="30">
        <v>0.64402035711764805</v>
      </c>
      <c r="AB76" s="30">
        <v>1.1934609534821501</v>
      </c>
      <c r="AC76" s="30">
        <v>1.3743623437100401</v>
      </c>
    </row>
    <row r="77" spans="1:29" x14ac:dyDescent="0.3">
      <c r="A77" s="2" t="s">
        <v>78</v>
      </c>
      <c r="B77" s="30">
        <v>3.50039003800077</v>
      </c>
      <c r="C77" s="30">
        <v>4.1311205286009098</v>
      </c>
      <c r="D77" s="30">
        <v>4.6168007701280098</v>
      </c>
      <c r="E77" s="30">
        <v>4.6606578425252199</v>
      </c>
      <c r="F77" s="30">
        <v>3.4890506795643699</v>
      </c>
      <c r="G77" s="30">
        <v>2.09286663948355</v>
      </c>
      <c r="H77" s="30">
        <v>4.1591643658602599</v>
      </c>
      <c r="I77" s="30">
        <v>4.1837794379405997</v>
      </c>
      <c r="J77" s="30">
        <v>4.2953302528020698</v>
      </c>
      <c r="K77" s="30">
        <v>3.9703637007960202</v>
      </c>
      <c r="L77" s="30">
        <v>4.4348691675007803</v>
      </c>
      <c r="M77" s="30">
        <v>3.40028793729214</v>
      </c>
      <c r="N77" s="30">
        <v>5.1126406024820996</v>
      </c>
      <c r="O77" s="30">
        <v>4.16497050151641</v>
      </c>
      <c r="P77" s="30">
        <v>3.8404582668200602</v>
      </c>
      <c r="Q77" s="30">
        <v>2.6316352138454699</v>
      </c>
      <c r="R77" s="30">
        <v>3.4280943804572299</v>
      </c>
      <c r="S77" s="30">
        <v>3.8387537824439599</v>
      </c>
      <c r="T77" s="30">
        <v>3.88548261115668</v>
      </c>
      <c r="U77" s="30">
        <v>4.9273369302417098</v>
      </c>
      <c r="V77" s="30">
        <v>3.1794382905028802</v>
      </c>
      <c r="W77" s="30">
        <v>3.7920939241933</v>
      </c>
      <c r="X77" s="30">
        <v>4.4263394164244598</v>
      </c>
      <c r="Y77" s="30">
        <v>3.1283135241773401</v>
      </c>
      <c r="Z77" s="30">
        <v>4.6102297856008896</v>
      </c>
      <c r="AA77" s="30">
        <v>2.1393893179885102</v>
      </c>
      <c r="AB77" s="30">
        <v>3.9645914715233999</v>
      </c>
      <c r="AC77" s="30">
        <v>4.5655328821256198</v>
      </c>
    </row>
    <row r="78" spans="1:29" x14ac:dyDescent="0.3">
      <c r="A78" s="2" t="s">
        <v>79</v>
      </c>
      <c r="B78" s="30">
        <v>2.4262854857003502</v>
      </c>
      <c r="C78" s="30">
        <v>2.8634745469530301</v>
      </c>
      <c r="D78" s="30">
        <v>3.2001224370212098</v>
      </c>
      <c r="E78" s="30">
        <v>3.2305218431009499</v>
      </c>
      <c r="F78" s="30">
        <v>2.4184256413708001</v>
      </c>
      <c r="G78" s="30">
        <v>1.4506646104459899</v>
      </c>
      <c r="H78" s="30">
        <v>2.88291305368144</v>
      </c>
      <c r="I78" s="30">
        <v>2.8999749214931998</v>
      </c>
      <c r="J78" s="30">
        <v>2.97729605430359</v>
      </c>
      <c r="K78" s="30">
        <v>2.7520464050043101</v>
      </c>
      <c r="L78" s="30">
        <v>3.0740170596054002</v>
      </c>
      <c r="M78" s="30">
        <v>2.3568999968260398</v>
      </c>
      <c r="N78" s="30">
        <v>3.5438124188267701</v>
      </c>
      <c r="O78" s="30">
        <v>2.88693756024144</v>
      </c>
      <c r="P78" s="30">
        <v>2.6620028197044601</v>
      </c>
      <c r="Q78" s="30">
        <v>1.8241105287392601</v>
      </c>
      <c r="R78" s="30">
        <v>2.3761739545073199</v>
      </c>
      <c r="S78" s="30">
        <v>2.6608213611648601</v>
      </c>
      <c r="T78" s="30">
        <v>2.6932113170379499</v>
      </c>
      <c r="U78" s="30">
        <v>3.4153697008659298</v>
      </c>
      <c r="V78" s="30">
        <v>2.2038186868263998</v>
      </c>
      <c r="W78" s="30">
        <v>2.6284792119730902</v>
      </c>
      <c r="X78" s="30">
        <v>3.06810468669596</v>
      </c>
      <c r="Y78" s="30">
        <v>2.16838169919107</v>
      </c>
      <c r="Z78" s="30">
        <v>3.1955677776227298</v>
      </c>
      <c r="AA78" s="30">
        <v>1.4829116738838</v>
      </c>
      <c r="AB78" s="30">
        <v>2.7480454005584498</v>
      </c>
      <c r="AC78" s="30">
        <v>3.1645862449990898</v>
      </c>
    </row>
    <row r="79" spans="1:29" x14ac:dyDescent="0.3">
      <c r="A79" s="2" t="s">
        <v>59</v>
      </c>
      <c r="B79" s="30">
        <v>0.153672416880337</v>
      </c>
      <c r="C79" s="30">
        <v>8.4785015225279994E-2</v>
      </c>
      <c r="D79" s="30">
        <v>6.3865893114552305E-2</v>
      </c>
      <c r="E79" s="30">
        <v>6.1684297716500698E-2</v>
      </c>
      <c r="F79" s="30">
        <v>0.197450252599114</v>
      </c>
      <c r="G79" s="30">
        <v>0.47916462942980298</v>
      </c>
      <c r="H79" s="30">
        <v>9.5165772970068896E-2</v>
      </c>
      <c r="I79" s="30">
        <v>8.3371741028277699E-2</v>
      </c>
      <c r="J79" s="30">
        <v>7.5722075249456094E-2</v>
      </c>
      <c r="K79" s="30">
        <v>9.6988976205445193E-2</v>
      </c>
      <c r="L79" s="30">
        <v>8.0052628073945697E-2</v>
      </c>
      <c r="M79" s="30">
        <v>0.23414399362962601</v>
      </c>
      <c r="N79" s="30">
        <v>4.2148979141096797E-2</v>
      </c>
      <c r="O79" s="30">
        <v>7.9732602970581407E-2</v>
      </c>
      <c r="P79" s="30">
        <v>0.119537631302411</v>
      </c>
      <c r="Q79" s="30">
        <v>0.33854166666666702</v>
      </c>
      <c r="R79" s="30">
        <v>0.135660382120593</v>
      </c>
      <c r="S79" s="30">
        <v>0.13937175381330699</v>
      </c>
      <c r="T79" s="30">
        <v>0.140668932203831</v>
      </c>
      <c r="U79" s="30">
        <v>5.9381659971911499E-2</v>
      </c>
      <c r="V79" s="30">
        <v>0.221455116272534</v>
      </c>
      <c r="W79" s="30">
        <v>0.16989072871588201</v>
      </c>
      <c r="X79" s="30">
        <v>9.2321942736801596E-2</v>
      </c>
      <c r="Y79" s="30">
        <v>0.27371126210947</v>
      </c>
      <c r="Z79" s="30">
        <v>6.0587743800575702E-2</v>
      </c>
      <c r="AA79" s="30">
        <v>0.49367307439352098</v>
      </c>
      <c r="AB79" s="30">
        <v>0.112272195607781</v>
      </c>
      <c r="AC79" s="30">
        <v>6.2874644565981602E-2</v>
      </c>
    </row>
    <row r="80" spans="1:29" x14ac:dyDescent="0.3">
      <c r="A80" s="2" t="s">
        <v>60</v>
      </c>
      <c r="B80" s="30">
        <f>1-0.153672416880337</f>
        <v>0.84632758311966305</v>
      </c>
      <c r="C80" s="30">
        <f>1-0.08478501522528</f>
        <v>0.91521498477471996</v>
      </c>
      <c r="D80" s="30">
        <f>1-0.0638658931145523</f>
        <v>0.93613410688544774</v>
      </c>
      <c r="E80" s="30">
        <f>1-0.0616842977165007</f>
        <v>0.93831570228349925</v>
      </c>
      <c r="F80" s="30">
        <f>1-0.197450252599114</f>
        <v>0.80254974740088603</v>
      </c>
      <c r="G80" s="30">
        <f>1-0.479164629429803</f>
        <v>0.52083537057019702</v>
      </c>
      <c r="H80" s="30">
        <f>1-0.0951657729700689</f>
        <v>0.9048342270299311</v>
      </c>
      <c r="I80" s="30">
        <f>1-0.0833717410282777</f>
        <v>0.91662825897172229</v>
      </c>
      <c r="J80" s="30">
        <f>1-0.0757220752494561</f>
        <v>0.92427792475054393</v>
      </c>
      <c r="K80" s="30">
        <f>1-0.0969889762054452</f>
        <v>0.90301102379455478</v>
      </c>
      <c r="L80" s="30">
        <f>1-0.0800526280739457</f>
        <v>0.91994737192605425</v>
      </c>
      <c r="M80" s="30">
        <f>1-0.234143993629626</f>
        <v>0.76585600637037399</v>
      </c>
      <c r="N80" s="30">
        <f>1-0.0421489791410968</f>
        <v>0.95785102085890317</v>
      </c>
      <c r="O80" s="30">
        <f>1-0.0797326029705814</f>
        <v>0.92026739702941862</v>
      </c>
      <c r="P80" s="30">
        <f>1-0.119537631302411</f>
        <v>0.88046236869758898</v>
      </c>
      <c r="Q80" s="30">
        <f>1-0.338541666666667</f>
        <v>0.66145833333333304</v>
      </c>
      <c r="R80" s="30">
        <f>1-0.135660382120593</f>
        <v>0.86433961787940694</v>
      </c>
      <c r="S80" s="30">
        <f>1-0.139371753813307</f>
        <v>0.86062824618669298</v>
      </c>
      <c r="T80" s="30">
        <f>1-0.140668932203831</f>
        <v>0.85933106779616897</v>
      </c>
      <c r="U80" s="30">
        <f>1-0.0593816599719115</f>
        <v>0.94061834002808853</v>
      </c>
      <c r="V80" s="30">
        <f>1-0.221455116272534</f>
        <v>0.778544883727466</v>
      </c>
      <c r="W80" s="30">
        <f>1-0.169890728715882</f>
        <v>0.83010927128411804</v>
      </c>
      <c r="X80" s="30">
        <f>1-0.0923219427368016</f>
        <v>0.90767805726319839</v>
      </c>
      <c r="Y80" s="30">
        <f>1-0.27371126210947</f>
        <v>0.72628873789053006</v>
      </c>
      <c r="Z80" s="30">
        <f>1-0.0605877438005757</f>
        <v>0.93941225619942426</v>
      </c>
      <c r="AA80" s="30">
        <f>1-0.493673074393521</f>
        <v>0.50632692560647907</v>
      </c>
      <c r="AB80" s="30">
        <f>1-0.112272195607781</f>
        <v>0.88772780439221899</v>
      </c>
      <c r="AC80" s="30">
        <f>1-0.0628746445659816</f>
        <v>0.93712535543401843</v>
      </c>
    </row>
    <row r="81" spans="1:29" x14ac:dyDescent="0.3">
      <c r="A81" s="2" t="s">
        <v>61</v>
      </c>
      <c r="B81" s="30">
        <f xml:space="preserve"> 1/0.153672416880337</f>
        <v>6.5073486856049696</v>
      </c>
      <c r="C81" s="30">
        <f xml:space="preserve"> 1/0.08478501522528</f>
        <v>11.794537010377681</v>
      </c>
      <c r="D81" s="30">
        <f xml:space="preserve"> 1/0.0638658931145523</f>
        <v>15.657809688911135</v>
      </c>
      <c r="E81" s="30">
        <f xml:space="preserve"> 1/0.0616842977165007</f>
        <v>16.211581180610533</v>
      </c>
      <c r="F81" s="30">
        <f xml:space="preserve"> 1/0.197450252599114</f>
        <v>5.0645668305642229</v>
      </c>
      <c r="G81" s="30">
        <f xml:space="preserve"> 1/0.479164629429803</f>
        <v>2.0869653947328737</v>
      </c>
      <c r="H81" s="30">
        <f xml:space="preserve"> 1/0.0951657729700689</f>
        <v>10.507979589621106</v>
      </c>
      <c r="I81" s="30">
        <f xml:space="preserve"> 1/0.0833717410282777</f>
        <v>11.994471839814691</v>
      </c>
      <c r="J81" s="30">
        <f xml:space="preserve"> 1/0.0757220752494561</f>
        <v>13.206188508511365</v>
      </c>
      <c r="K81" s="30">
        <f xml:space="preserve"> 1/0.0969889762054452</f>
        <v>10.3104501060179</v>
      </c>
      <c r="L81" s="30">
        <f xml:space="preserve"> 1/0.0800526280739457</f>
        <v>12.491782269487597</v>
      </c>
      <c r="M81" s="30">
        <f xml:space="preserve"> 1/0.234143993629626</f>
        <v>4.2708761582918138</v>
      </c>
      <c r="N81" s="30">
        <f xml:space="preserve"> 1/0.0421489791410968</f>
        <v>23.725367028521063</v>
      </c>
      <c r="O81" s="30">
        <f xml:space="preserve"> 1/0.0797326029705814</f>
        <v>12.541920904914715</v>
      </c>
      <c r="P81" s="30">
        <f xml:space="preserve"> 1/0.119537631302411</f>
        <v>8.3655664672672039</v>
      </c>
      <c r="Q81" s="30">
        <f xml:space="preserve"> 1/0.338541666666667</f>
        <v>2.9538461538461509</v>
      </c>
      <c r="R81" s="30">
        <f xml:space="preserve"> 1/0.135660382120593</f>
        <v>7.3713488372092808</v>
      </c>
      <c r="S81" s="30">
        <f xml:space="preserve"> 1/0.139371753813307</f>
        <v>7.1750550067665264</v>
      </c>
      <c r="T81" s="30">
        <f xml:space="preserve"> 1/0.140668932203831</f>
        <v>7.1088902455802234</v>
      </c>
      <c r="U81" s="30">
        <f xml:space="preserve"> 1/0.0593816599719115</f>
        <v>16.840216330648495</v>
      </c>
      <c r="V81" s="30">
        <f xml:space="preserve"> 1/0.221455116272534</f>
        <v>4.5155877038729093</v>
      </c>
      <c r="W81" s="30">
        <f xml:space="preserve"> 1/0.169890728715882</f>
        <v>5.8861363863613612</v>
      </c>
      <c r="X81" s="30">
        <f xml:space="preserve"> 1/0.0923219427368016</f>
        <v>10.83166114529106</v>
      </c>
      <c r="Y81" s="30">
        <f xml:space="preserve"> 1/0.27371126210947</f>
        <v>3.653485034898027</v>
      </c>
      <c r="Z81" s="30">
        <f xml:space="preserve"> 1/0.0605877438005757</f>
        <v>16.504988257880928</v>
      </c>
      <c r="AA81" s="30">
        <f xml:space="preserve"> 1/0.493673074393521</f>
        <v>2.0256320465289774</v>
      </c>
      <c r="AB81" s="30">
        <f xml:space="preserve"> 1/0.112272195607781</f>
        <v>8.90692476963277</v>
      </c>
      <c r="AC81" s="30">
        <f xml:space="preserve"> 1/0.0628746445659816</f>
        <v>15.904662474085001</v>
      </c>
    </row>
    <row r="82" spans="1:29" x14ac:dyDescent="0.3">
      <c r="A82" s="2"/>
    </row>
    <row r="83" spans="1:29" x14ac:dyDescent="0.3">
      <c r="A83" s="1" t="s">
        <v>40</v>
      </c>
    </row>
    <row r="84" spans="1:29" x14ac:dyDescent="0.3">
      <c r="A84" s="2" t="s">
        <v>41</v>
      </c>
      <c r="B84" s="30">
        <v>4.73889050246878</v>
      </c>
      <c r="C84" s="30">
        <v>3.9576547231270398</v>
      </c>
      <c r="D84" s="30">
        <v>5.1408634976013996</v>
      </c>
      <c r="E84" s="30">
        <v>5.60177828225501</v>
      </c>
      <c r="F84" s="30">
        <v>5.5714285714285703</v>
      </c>
      <c r="G84" s="30">
        <v>5.1397306397306401</v>
      </c>
      <c r="H84" s="30">
        <v>5.0545454545454502</v>
      </c>
      <c r="I84" s="30">
        <v>5.3880126182965302</v>
      </c>
      <c r="J84" s="30">
        <v>4.4385093167701903</v>
      </c>
      <c r="K84" s="30">
        <v>2.9845100864553298</v>
      </c>
      <c r="L84" s="30">
        <v>4.3696145124716601</v>
      </c>
      <c r="M84" s="30">
        <v>5.4317460317460302</v>
      </c>
      <c r="N84" s="30">
        <v>4.3086816720257204</v>
      </c>
      <c r="O84" s="30">
        <v>5.0552662523097602</v>
      </c>
      <c r="P84" s="30">
        <v>3.8331177231565299</v>
      </c>
      <c r="Q84" s="30">
        <v>8.57421875</v>
      </c>
      <c r="R84" s="30">
        <v>5.2375886524822697</v>
      </c>
      <c r="S84" s="30">
        <v>6.4171337069655703</v>
      </c>
      <c r="T84" s="30">
        <v>5.0445299615173198</v>
      </c>
      <c r="U84" s="30">
        <v>4.3332379862700199</v>
      </c>
      <c r="V84" s="30">
        <v>4.25020441537204</v>
      </c>
      <c r="W84" s="30">
        <v>4.5439739413680797</v>
      </c>
      <c r="X84" s="30">
        <v>2.7046728971962599</v>
      </c>
      <c r="Y84" s="30">
        <v>5.3265651438240296</v>
      </c>
      <c r="Z84" s="30">
        <v>3.8048904737646501</v>
      </c>
      <c r="AA84" s="30">
        <v>5.1438356164383601</v>
      </c>
      <c r="AB84" s="30">
        <v>5.4751552795031104</v>
      </c>
      <c r="AC84" s="30">
        <v>4.4613564668769703</v>
      </c>
    </row>
    <row r="86" spans="1:29" x14ac:dyDescent="0.3">
      <c r="A86" s="2"/>
    </row>
    <row r="87" spans="1:29" x14ac:dyDescent="0.3">
      <c r="A87" s="1"/>
    </row>
    <row r="88" spans="1:29" x14ac:dyDescent="0.3">
      <c r="A88" s="2"/>
    </row>
    <row r="89" spans="1:29" x14ac:dyDescent="0.3">
      <c r="A89" s="3"/>
    </row>
  </sheetData>
  <phoneticPr fontId="0" type="noConversion"/>
  <hyperlinks>
    <hyperlink ref="A5" r:id="rId1" xr:uid="{00000000-0004-0000-0100-000000000000}"/>
  </hyperlinks>
  <pageMargins left="0.7" right="0.7" top="0.75" bottom="0.75" header="0.3" footer="0.3"/>
  <pageSetup orientation="landscape" horizontalDpi="1200" verticalDpi="1200"/>
  <drawing r:id="rId2"/>
  <legacyDrawing r:id="rId3"/>
  <oleObjects>
    <mc:AlternateContent xmlns:mc="http://schemas.openxmlformats.org/markup-compatibility/2006">
      <mc:Choice Requires="x14">
        <oleObject progId="PhotoshopElements.Image.2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1341120</xdr:colOff>
                <xdr:row>1</xdr:row>
                <xdr:rowOff>0</xdr:rowOff>
              </to>
            </anchor>
          </objectPr>
        </oleObject>
      </mc:Choice>
      <mc:Fallback>
        <oleObject progId="PhotoshopElements.Image.2" shapeId="3073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66"/>
  <sheetViews>
    <sheetView workbookViewId="0">
      <pane xSplit="1" ySplit="14" topLeftCell="L15" activePane="bottomRight" state="frozen"/>
      <selection pane="topRight" activeCell="B1" sqref="B1"/>
      <selection pane="bottomLeft" activeCell="A11" sqref="A11"/>
      <selection pane="bottomRight" activeCell="AB11" sqref="AB11"/>
    </sheetView>
  </sheetViews>
  <sheetFormatPr defaultColWidth="8.88671875" defaultRowHeight="14.4" x14ac:dyDescent="0.3"/>
  <cols>
    <col min="1" max="1" width="27.88671875" style="7" customWidth="1"/>
    <col min="2" max="93" width="8.33203125" style="6" customWidth="1"/>
    <col min="94" max="16384" width="8.88671875" style="6"/>
  </cols>
  <sheetData>
    <row r="1" spans="1:29" ht="41.25" customHeight="1" x14ac:dyDescent="0.3"/>
    <row r="2" spans="1:29" x14ac:dyDescent="0.3">
      <c r="A2" s="7" t="s">
        <v>85</v>
      </c>
    </row>
    <row r="3" spans="1:29" x14ac:dyDescent="0.3">
      <c r="A3" s="7" t="s">
        <v>86</v>
      </c>
    </row>
    <row r="4" spans="1:29" x14ac:dyDescent="0.3">
      <c r="A4" s="7" t="s">
        <v>65</v>
      </c>
    </row>
    <row r="5" spans="1:29" x14ac:dyDescent="0.3">
      <c r="A5" s="8" t="s">
        <v>62</v>
      </c>
    </row>
    <row r="6" spans="1:29" x14ac:dyDescent="0.3">
      <c r="A6" s="7" t="s">
        <v>63</v>
      </c>
    </row>
    <row r="7" spans="1:29" x14ac:dyDescent="0.3">
      <c r="A7" s="9"/>
    </row>
    <row r="8" spans="1:29" x14ac:dyDescent="0.3">
      <c r="A8" s="11"/>
    </row>
    <row r="9" spans="1:29" x14ac:dyDescent="0.3">
      <c r="A9" s="20" t="s">
        <v>66</v>
      </c>
      <c r="B9" s="28" t="s">
        <v>87</v>
      </c>
      <c r="C9" s="33" t="s">
        <v>87</v>
      </c>
      <c r="D9" s="28" t="s">
        <v>87</v>
      </c>
      <c r="E9" s="33" t="s">
        <v>87</v>
      </c>
      <c r="F9" s="33" t="s">
        <v>87</v>
      </c>
      <c r="G9" s="28" t="s">
        <v>87</v>
      </c>
      <c r="H9" s="33" t="s">
        <v>87</v>
      </c>
      <c r="I9" s="28" t="s">
        <v>87</v>
      </c>
      <c r="J9" s="33" t="s">
        <v>87</v>
      </c>
      <c r="K9" s="33" t="s">
        <v>87</v>
      </c>
      <c r="L9" s="28" t="s">
        <v>87</v>
      </c>
      <c r="M9" s="33" t="s">
        <v>87</v>
      </c>
      <c r="N9" s="28" t="s">
        <v>87</v>
      </c>
      <c r="O9" s="28" t="s">
        <v>87</v>
      </c>
      <c r="P9" s="28" t="s">
        <v>88</v>
      </c>
      <c r="Q9" s="33" t="s">
        <v>88</v>
      </c>
      <c r="R9" s="28" t="s">
        <v>88</v>
      </c>
      <c r="S9" s="28" t="s">
        <v>88</v>
      </c>
      <c r="T9" s="33" t="s">
        <v>88</v>
      </c>
      <c r="U9" s="28" t="s">
        <v>88</v>
      </c>
      <c r="V9" s="33" t="s">
        <v>88</v>
      </c>
      <c r="W9" s="33" t="s">
        <v>88</v>
      </c>
      <c r="X9" s="28" t="s">
        <v>88</v>
      </c>
      <c r="Y9" s="33" t="s">
        <v>88</v>
      </c>
      <c r="Z9" s="28" t="s">
        <v>88</v>
      </c>
      <c r="AA9" s="33" t="s">
        <v>88</v>
      </c>
      <c r="AB9" s="33" t="s">
        <v>89</v>
      </c>
      <c r="AC9" s="28" t="s">
        <v>89</v>
      </c>
    </row>
    <row r="10" spans="1:29" x14ac:dyDescent="0.3">
      <c r="A10" s="20" t="s">
        <v>67</v>
      </c>
      <c r="B10" s="28">
        <v>2</v>
      </c>
      <c r="C10" s="33">
        <v>2</v>
      </c>
      <c r="D10" s="28">
        <v>2</v>
      </c>
      <c r="E10" s="33">
        <v>2</v>
      </c>
      <c r="F10" s="33">
        <v>2</v>
      </c>
      <c r="G10" s="28">
        <v>4</v>
      </c>
      <c r="H10" s="33">
        <v>4</v>
      </c>
      <c r="I10" s="28">
        <v>4</v>
      </c>
      <c r="J10" s="33">
        <v>4</v>
      </c>
      <c r="K10" s="33">
        <v>4</v>
      </c>
      <c r="L10" s="28">
        <v>5</v>
      </c>
      <c r="M10" s="33">
        <v>5</v>
      </c>
      <c r="N10" s="28">
        <v>5</v>
      </c>
      <c r="O10" s="28">
        <v>5</v>
      </c>
      <c r="P10" s="28">
        <v>1</v>
      </c>
      <c r="Q10" s="33">
        <v>1</v>
      </c>
      <c r="R10" s="28">
        <v>1</v>
      </c>
      <c r="S10" s="28">
        <v>7</v>
      </c>
      <c r="T10" s="33">
        <v>7</v>
      </c>
      <c r="U10" s="28">
        <v>7</v>
      </c>
      <c r="V10" s="33">
        <v>7</v>
      </c>
      <c r="W10" s="33">
        <v>10</v>
      </c>
      <c r="X10" s="28">
        <v>10</v>
      </c>
      <c r="Y10" s="33">
        <v>10</v>
      </c>
      <c r="Z10" s="28">
        <v>10</v>
      </c>
      <c r="AA10" s="33">
        <v>10</v>
      </c>
      <c r="AB10" s="33" t="s">
        <v>90</v>
      </c>
      <c r="AC10" s="28" t="s">
        <v>90</v>
      </c>
    </row>
    <row r="11" spans="1:29" x14ac:dyDescent="0.3">
      <c r="A11" s="20" t="s">
        <v>69</v>
      </c>
      <c r="B11" s="28" t="s">
        <v>91</v>
      </c>
      <c r="C11" s="33" t="s">
        <v>92</v>
      </c>
      <c r="D11" s="28" t="s">
        <v>93</v>
      </c>
      <c r="E11" s="33" t="s">
        <v>94</v>
      </c>
      <c r="F11" s="33" t="s">
        <v>95</v>
      </c>
      <c r="G11" s="28" t="s">
        <v>96</v>
      </c>
      <c r="H11" s="33" t="s">
        <v>97</v>
      </c>
      <c r="I11" s="28" t="s">
        <v>98</v>
      </c>
      <c r="J11" s="33" t="s">
        <v>99</v>
      </c>
      <c r="K11" s="33" t="s">
        <v>100</v>
      </c>
      <c r="L11" s="28" t="s">
        <v>101</v>
      </c>
      <c r="M11" s="33" t="s">
        <v>102</v>
      </c>
      <c r="N11" s="28" t="s">
        <v>103</v>
      </c>
      <c r="O11" s="28" t="s">
        <v>104</v>
      </c>
      <c r="P11" s="28" t="s">
        <v>105</v>
      </c>
      <c r="Q11" s="33" t="s">
        <v>106</v>
      </c>
      <c r="R11" s="28" t="s">
        <v>107</v>
      </c>
      <c r="S11" s="28" t="s">
        <v>108</v>
      </c>
      <c r="T11" s="33" t="s">
        <v>109</v>
      </c>
      <c r="U11" s="28" t="s">
        <v>110</v>
      </c>
      <c r="V11" s="33" t="s">
        <v>111</v>
      </c>
      <c r="W11" s="33" t="s">
        <v>112</v>
      </c>
      <c r="X11" s="28" t="s">
        <v>113</v>
      </c>
      <c r="Y11" s="33" t="s">
        <v>114</v>
      </c>
      <c r="Z11" s="28" t="s">
        <v>115</v>
      </c>
      <c r="AA11" s="33" t="s">
        <v>116</v>
      </c>
      <c r="AB11" s="33" t="s">
        <v>117</v>
      </c>
      <c r="AC11" s="28" t="s">
        <v>118</v>
      </c>
    </row>
    <row r="12" spans="1:29" x14ac:dyDescent="0.3">
      <c r="A12" s="20" t="s">
        <v>68</v>
      </c>
      <c r="B12" s="28" t="s">
        <v>119</v>
      </c>
      <c r="C12" s="33" t="s">
        <v>119</v>
      </c>
      <c r="D12" s="28" t="s">
        <v>119</v>
      </c>
      <c r="E12" s="33" t="s">
        <v>119</v>
      </c>
      <c r="F12" s="33" t="s">
        <v>119</v>
      </c>
      <c r="G12" s="28" t="s">
        <v>119</v>
      </c>
      <c r="H12" s="33" t="s">
        <v>119</v>
      </c>
      <c r="I12" s="28" t="s">
        <v>119</v>
      </c>
      <c r="J12" s="33" t="s">
        <v>119</v>
      </c>
      <c r="K12" s="33" t="s">
        <v>119</v>
      </c>
      <c r="L12" s="28" t="s">
        <v>119</v>
      </c>
      <c r="M12" s="33" t="s">
        <v>119</v>
      </c>
      <c r="N12" s="28" t="s">
        <v>119</v>
      </c>
      <c r="O12" s="28" t="s">
        <v>119</v>
      </c>
      <c r="P12" s="28" t="s">
        <v>119</v>
      </c>
      <c r="Q12" s="33" t="s">
        <v>119</v>
      </c>
      <c r="R12" s="28" t="s">
        <v>119</v>
      </c>
      <c r="S12" s="28" t="s">
        <v>119</v>
      </c>
      <c r="T12" s="33" t="s">
        <v>119</v>
      </c>
      <c r="U12" s="28" t="s">
        <v>119</v>
      </c>
      <c r="V12" s="33" t="s">
        <v>119</v>
      </c>
      <c r="W12" s="33" t="s">
        <v>119</v>
      </c>
      <c r="X12" s="28" t="s">
        <v>119</v>
      </c>
      <c r="Y12" s="33" t="s">
        <v>119</v>
      </c>
      <c r="Z12" s="28" t="s">
        <v>119</v>
      </c>
      <c r="AA12" s="33" t="s">
        <v>119</v>
      </c>
      <c r="AB12" s="33" t="s">
        <v>119</v>
      </c>
      <c r="AC12" s="28" t="s">
        <v>119</v>
      </c>
    </row>
    <row r="13" spans="1:29" x14ac:dyDescent="0.3">
      <c r="A13" s="20" t="s">
        <v>84</v>
      </c>
      <c r="B13" s="28">
        <v>400</v>
      </c>
      <c r="C13" s="33">
        <v>400</v>
      </c>
      <c r="D13" s="28">
        <v>400</v>
      </c>
      <c r="E13" s="33">
        <v>400</v>
      </c>
      <c r="F13" s="33">
        <v>400</v>
      </c>
      <c r="G13" s="28">
        <v>400</v>
      </c>
      <c r="H13" s="33">
        <v>400</v>
      </c>
      <c r="I13" s="28">
        <v>400</v>
      </c>
      <c r="J13" s="33">
        <v>400</v>
      </c>
      <c r="K13" s="33">
        <v>400</v>
      </c>
      <c r="L13" s="28">
        <v>400</v>
      </c>
      <c r="M13" s="33">
        <v>400</v>
      </c>
      <c r="N13" s="28">
        <v>400</v>
      </c>
      <c r="O13" s="28">
        <v>400</v>
      </c>
      <c r="P13" s="28">
        <v>400</v>
      </c>
      <c r="Q13" s="33">
        <v>400</v>
      </c>
      <c r="R13" s="28">
        <v>400</v>
      </c>
      <c r="S13" s="28">
        <v>400</v>
      </c>
      <c r="T13" s="33">
        <v>400</v>
      </c>
      <c r="U13" s="28">
        <v>400</v>
      </c>
      <c r="V13" s="33">
        <v>400</v>
      </c>
      <c r="W13" s="33">
        <v>400</v>
      </c>
      <c r="X13" s="28">
        <v>400</v>
      </c>
      <c r="Y13" s="33">
        <v>400</v>
      </c>
      <c r="Z13" s="28">
        <v>400</v>
      </c>
      <c r="AA13" s="33">
        <v>400</v>
      </c>
      <c r="AB13" s="33">
        <v>400</v>
      </c>
      <c r="AC13" s="28">
        <v>400</v>
      </c>
    </row>
    <row r="14" spans="1:29" x14ac:dyDescent="0.3">
      <c r="A14" s="20" t="s">
        <v>83</v>
      </c>
      <c r="B14" s="28">
        <v>9</v>
      </c>
      <c r="C14" s="33">
        <v>10</v>
      </c>
      <c r="D14" s="28">
        <v>7</v>
      </c>
      <c r="E14" s="33">
        <v>7</v>
      </c>
      <c r="F14" s="33">
        <v>5</v>
      </c>
      <c r="G14" s="28">
        <v>5</v>
      </c>
      <c r="H14" s="33">
        <v>5</v>
      </c>
      <c r="I14" s="28">
        <v>10</v>
      </c>
      <c r="J14" s="33">
        <v>5</v>
      </c>
      <c r="K14" s="33">
        <v>6</v>
      </c>
      <c r="L14" s="28">
        <v>5</v>
      </c>
      <c r="M14" s="33">
        <v>5</v>
      </c>
      <c r="N14" s="28">
        <v>8</v>
      </c>
      <c r="O14" s="28">
        <v>6</v>
      </c>
      <c r="P14" s="28">
        <v>22</v>
      </c>
      <c r="Q14" s="33">
        <v>100</v>
      </c>
      <c r="R14" s="28">
        <v>100</v>
      </c>
      <c r="S14" s="28">
        <v>27</v>
      </c>
      <c r="T14" s="33">
        <v>19</v>
      </c>
      <c r="U14" s="28">
        <v>11</v>
      </c>
      <c r="V14" s="33">
        <v>26</v>
      </c>
      <c r="W14" s="33">
        <v>20</v>
      </c>
      <c r="X14" s="28">
        <v>16</v>
      </c>
      <c r="Y14" s="33">
        <v>17</v>
      </c>
      <c r="Z14" s="28">
        <v>16</v>
      </c>
      <c r="AA14" s="33">
        <v>29</v>
      </c>
      <c r="AB14" s="33">
        <v>20</v>
      </c>
      <c r="AC14" s="28">
        <v>14</v>
      </c>
    </row>
    <row r="15" spans="1:29" x14ac:dyDescent="0.3">
      <c r="A15" s="27" t="s">
        <v>120</v>
      </c>
      <c r="B15" s="35">
        <v>0</v>
      </c>
      <c r="C15" s="36">
        <v>0</v>
      </c>
      <c r="D15" s="35">
        <v>0</v>
      </c>
      <c r="E15" s="36">
        <v>0</v>
      </c>
      <c r="F15" s="36">
        <v>0</v>
      </c>
      <c r="G15" s="35">
        <v>0</v>
      </c>
      <c r="H15" s="36">
        <v>0</v>
      </c>
      <c r="I15" s="35">
        <v>0</v>
      </c>
      <c r="J15" s="36">
        <v>0</v>
      </c>
      <c r="K15" s="36">
        <v>0</v>
      </c>
      <c r="L15" s="35">
        <v>0</v>
      </c>
      <c r="M15" s="36">
        <v>0</v>
      </c>
      <c r="N15" s="35">
        <v>0</v>
      </c>
      <c r="O15" s="35">
        <v>0</v>
      </c>
      <c r="P15" s="35">
        <v>0</v>
      </c>
      <c r="Q15" s="36">
        <v>0</v>
      </c>
      <c r="R15" s="35">
        <v>0</v>
      </c>
      <c r="S15" s="35">
        <v>0</v>
      </c>
      <c r="T15" s="36">
        <v>0</v>
      </c>
      <c r="U15" s="35">
        <v>0</v>
      </c>
      <c r="V15" s="36">
        <v>0</v>
      </c>
      <c r="W15" s="36">
        <v>0</v>
      </c>
      <c r="X15" s="29">
        <v>2</v>
      </c>
      <c r="Y15" s="36">
        <v>0</v>
      </c>
      <c r="Z15" s="35">
        <v>0</v>
      </c>
      <c r="AA15" s="36">
        <v>0</v>
      </c>
      <c r="AB15" s="36">
        <v>0</v>
      </c>
      <c r="AC15" s="35">
        <v>0</v>
      </c>
    </row>
    <row r="16" spans="1:29" x14ac:dyDescent="0.3">
      <c r="A16" s="21" t="s">
        <v>119</v>
      </c>
      <c r="B16" s="35">
        <v>0</v>
      </c>
      <c r="C16" s="36">
        <v>0</v>
      </c>
      <c r="D16" s="35">
        <v>0</v>
      </c>
      <c r="E16" s="36">
        <v>0</v>
      </c>
      <c r="F16" s="36">
        <v>0</v>
      </c>
      <c r="G16" s="35">
        <v>0</v>
      </c>
      <c r="H16" s="36">
        <v>0</v>
      </c>
      <c r="I16" s="35">
        <v>0</v>
      </c>
      <c r="J16" s="36">
        <v>0</v>
      </c>
      <c r="K16" s="36">
        <v>0</v>
      </c>
      <c r="L16" s="35">
        <v>0</v>
      </c>
      <c r="M16" s="36">
        <v>0</v>
      </c>
      <c r="N16" s="35">
        <v>0</v>
      </c>
      <c r="O16" s="35">
        <v>0</v>
      </c>
      <c r="P16" s="35">
        <v>0</v>
      </c>
      <c r="Q16" s="36">
        <v>0</v>
      </c>
      <c r="R16" s="35">
        <v>0</v>
      </c>
      <c r="S16" s="35">
        <v>0</v>
      </c>
      <c r="T16" s="36">
        <v>0</v>
      </c>
      <c r="U16" s="35">
        <v>0</v>
      </c>
      <c r="V16" s="36">
        <v>0</v>
      </c>
      <c r="W16" s="36">
        <v>0</v>
      </c>
      <c r="X16" s="35">
        <v>0</v>
      </c>
      <c r="Y16" s="36">
        <v>0</v>
      </c>
      <c r="Z16" s="35">
        <v>0</v>
      </c>
      <c r="AA16" s="36">
        <v>0</v>
      </c>
      <c r="AB16" s="36">
        <v>0</v>
      </c>
      <c r="AC16" s="35">
        <v>0</v>
      </c>
    </row>
    <row r="17" spans="1:29" x14ac:dyDescent="0.3">
      <c r="A17" s="21" t="s">
        <v>121</v>
      </c>
      <c r="B17" s="35">
        <v>0</v>
      </c>
      <c r="C17" s="36">
        <v>0</v>
      </c>
      <c r="D17" s="35">
        <v>0</v>
      </c>
      <c r="E17" s="36">
        <v>0</v>
      </c>
      <c r="F17" s="36">
        <v>0</v>
      </c>
      <c r="G17" s="35">
        <v>0</v>
      </c>
      <c r="H17" s="36">
        <v>0</v>
      </c>
      <c r="I17" s="35">
        <v>0</v>
      </c>
      <c r="J17" s="36">
        <v>0</v>
      </c>
      <c r="K17" s="36">
        <v>0</v>
      </c>
      <c r="L17" s="35">
        <v>0</v>
      </c>
      <c r="M17" s="36">
        <v>0</v>
      </c>
      <c r="N17" s="35">
        <v>0</v>
      </c>
      <c r="O17" s="35">
        <v>0</v>
      </c>
      <c r="P17" s="35">
        <v>0</v>
      </c>
      <c r="Q17" s="36">
        <v>0</v>
      </c>
      <c r="R17" s="35">
        <v>0</v>
      </c>
      <c r="S17" s="35">
        <v>0</v>
      </c>
      <c r="T17" s="36">
        <v>0</v>
      </c>
      <c r="U17" s="35">
        <v>0</v>
      </c>
      <c r="V17" s="36">
        <v>0</v>
      </c>
      <c r="W17" s="36">
        <v>0</v>
      </c>
      <c r="X17" s="35">
        <v>0</v>
      </c>
      <c r="Y17" s="36">
        <v>0</v>
      </c>
      <c r="Z17" s="35">
        <v>0</v>
      </c>
      <c r="AA17" s="36">
        <v>0</v>
      </c>
      <c r="AB17" s="36">
        <v>0</v>
      </c>
      <c r="AC17" s="35">
        <v>0</v>
      </c>
    </row>
    <row r="18" spans="1:29" x14ac:dyDescent="0.3">
      <c r="A18" s="21" t="s">
        <v>122</v>
      </c>
      <c r="B18" s="35">
        <v>0</v>
      </c>
      <c r="C18" s="36">
        <v>0</v>
      </c>
      <c r="D18" s="35">
        <v>0</v>
      </c>
      <c r="E18" s="36">
        <v>0</v>
      </c>
      <c r="F18" s="36">
        <v>0</v>
      </c>
      <c r="G18" s="35">
        <v>0</v>
      </c>
      <c r="H18" s="36">
        <v>0</v>
      </c>
      <c r="I18" s="35">
        <v>0</v>
      </c>
      <c r="J18" s="36">
        <v>0</v>
      </c>
      <c r="K18" s="36">
        <v>0</v>
      </c>
      <c r="L18" s="35">
        <v>0</v>
      </c>
      <c r="M18" s="36">
        <v>0</v>
      </c>
      <c r="N18" s="35">
        <v>0</v>
      </c>
      <c r="O18" s="35">
        <v>0</v>
      </c>
      <c r="P18" s="35">
        <v>0</v>
      </c>
      <c r="Q18" s="36">
        <v>0</v>
      </c>
      <c r="R18" s="35">
        <v>0</v>
      </c>
      <c r="S18" s="35">
        <v>0</v>
      </c>
      <c r="T18" s="36">
        <v>0</v>
      </c>
      <c r="U18" s="35">
        <v>0</v>
      </c>
      <c r="V18" s="36">
        <v>0</v>
      </c>
      <c r="W18" s="36">
        <v>0</v>
      </c>
      <c r="X18" s="35">
        <v>0</v>
      </c>
      <c r="Y18" s="36">
        <v>0</v>
      </c>
      <c r="Z18" s="35">
        <v>0</v>
      </c>
      <c r="AA18" s="36">
        <v>0</v>
      </c>
      <c r="AB18" s="36">
        <v>0</v>
      </c>
      <c r="AC18" s="35">
        <v>0</v>
      </c>
    </row>
    <row r="19" spans="1:29" x14ac:dyDescent="0.3">
      <c r="A19" s="21" t="s">
        <v>123</v>
      </c>
      <c r="B19" s="35">
        <v>0</v>
      </c>
      <c r="C19" s="36">
        <v>0</v>
      </c>
      <c r="D19" s="35">
        <v>0</v>
      </c>
      <c r="E19" s="36">
        <v>0</v>
      </c>
      <c r="F19" s="36">
        <v>0</v>
      </c>
      <c r="G19" s="35">
        <v>0</v>
      </c>
      <c r="H19" s="36">
        <v>0</v>
      </c>
      <c r="I19" s="35">
        <v>0</v>
      </c>
      <c r="J19" s="36">
        <v>0</v>
      </c>
      <c r="K19" s="36">
        <v>0</v>
      </c>
      <c r="L19" s="35">
        <v>0</v>
      </c>
      <c r="M19" s="36">
        <v>0</v>
      </c>
      <c r="N19" s="35">
        <v>0</v>
      </c>
      <c r="O19" s="35">
        <v>0</v>
      </c>
      <c r="P19" s="35">
        <v>0</v>
      </c>
      <c r="Q19" s="36">
        <v>0</v>
      </c>
      <c r="R19" s="35">
        <v>0</v>
      </c>
      <c r="S19" s="35">
        <v>0</v>
      </c>
      <c r="T19" s="36">
        <v>0</v>
      </c>
      <c r="U19" s="35">
        <v>0</v>
      </c>
      <c r="V19" s="36">
        <v>0</v>
      </c>
      <c r="W19" s="36">
        <v>0</v>
      </c>
      <c r="X19" s="35">
        <v>0</v>
      </c>
      <c r="Y19" s="36">
        <v>0</v>
      </c>
      <c r="Z19" s="35">
        <v>0</v>
      </c>
      <c r="AA19" s="36">
        <v>0</v>
      </c>
      <c r="AB19" s="36">
        <v>0</v>
      </c>
      <c r="AC19" s="35">
        <v>0</v>
      </c>
    </row>
    <row r="20" spans="1:29" x14ac:dyDescent="0.3">
      <c r="A20" s="21" t="s">
        <v>124</v>
      </c>
      <c r="B20" s="35">
        <v>0</v>
      </c>
      <c r="C20" s="36">
        <v>0</v>
      </c>
      <c r="D20" s="35">
        <v>0</v>
      </c>
      <c r="E20" s="36">
        <v>0</v>
      </c>
      <c r="F20" s="36">
        <v>0</v>
      </c>
      <c r="G20" s="35">
        <v>0</v>
      </c>
      <c r="H20" s="36">
        <v>0</v>
      </c>
      <c r="I20" s="29">
        <v>3</v>
      </c>
      <c r="J20" s="36">
        <v>0</v>
      </c>
      <c r="K20" s="36">
        <v>0</v>
      </c>
      <c r="L20" s="35">
        <v>0</v>
      </c>
      <c r="M20" s="36">
        <v>0</v>
      </c>
      <c r="N20" s="35">
        <v>0</v>
      </c>
      <c r="O20" s="35">
        <v>0</v>
      </c>
      <c r="P20" s="35">
        <v>0</v>
      </c>
      <c r="Q20" s="36">
        <v>0</v>
      </c>
      <c r="R20" s="35">
        <v>0</v>
      </c>
      <c r="S20" s="35">
        <v>0</v>
      </c>
      <c r="T20" s="36">
        <v>0</v>
      </c>
      <c r="U20" s="35">
        <v>0</v>
      </c>
      <c r="V20" s="36">
        <v>0</v>
      </c>
      <c r="W20" s="36">
        <v>0</v>
      </c>
      <c r="X20" s="35">
        <v>0</v>
      </c>
      <c r="Y20" s="36">
        <v>0</v>
      </c>
      <c r="Z20" s="35">
        <v>0</v>
      </c>
      <c r="AA20" s="36">
        <v>0</v>
      </c>
      <c r="AB20" s="36">
        <v>0</v>
      </c>
      <c r="AC20" s="35">
        <v>0</v>
      </c>
    </row>
    <row r="21" spans="1:29" x14ac:dyDescent="0.3">
      <c r="A21" s="21" t="s">
        <v>125</v>
      </c>
      <c r="B21" s="35">
        <v>0</v>
      </c>
      <c r="C21" s="36">
        <v>0</v>
      </c>
      <c r="D21" s="35">
        <v>0</v>
      </c>
      <c r="E21" s="36">
        <v>0</v>
      </c>
      <c r="F21" s="36">
        <v>0</v>
      </c>
      <c r="G21" s="35">
        <v>0</v>
      </c>
      <c r="H21" s="36">
        <v>0</v>
      </c>
      <c r="I21" s="35">
        <v>0</v>
      </c>
      <c r="J21" s="36">
        <v>0</v>
      </c>
      <c r="K21" s="36">
        <v>0</v>
      </c>
      <c r="L21" s="35">
        <v>0</v>
      </c>
      <c r="M21" s="36">
        <v>0</v>
      </c>
      <c r="N21" s="35">
        <v>0</v>
      </c>
      <c r="O21" s="35">
        <v>0</v>
      </c>
      <c r="P21" s="35">
        <v>0</v>
      </c>
      <c r="Q21" s="36">
        <v>0</v>
      </c>
      <c r="R21" s="35">
        <v>0</v>
      </c>
      <c r="S21" s="35">
        <v>0</v>
      </c>
      <c r="T21" s="36">
        <v>0</v>
      </c>
      <c r="U21" s="35">
        <v>0</v>
      </c>
      <c r="V21" s="36">
        <v>0</v>
      </c>
      <c r="W21" s="36">
        <v>0</v>
      </c>
      <c r="X21" s="35">
        <v>0</v>
      </c>
      <c r="Y21" s="36">
        <v>0</v>
      </c>
      <c r="Z21" s="35">
        <v>0</v>
      </c>
      <c r="AA21" s="36">
        <v>0</v>
      </c>
      <c r="AB21" s="36">
        <v>0</v>
      </c>
      <c r="AC21" s="35">
        <v>0</v>
      </c>
    </row>
    <row r="22" spans="1:29" x14ac:dyDescent="0.3">
      <c r="A22" s="27" t="s">
        <v>126</v>
      </c>
      <c r="B22" s="35">
        <v>0</v>
      </c>
      <c r="C22" s="36">
        <v>0</v>
      </c>
      <c r="D22" s="35">
        <v>0</v>
      </c>
      <c r="E22" s="36">
        <v>0</v>
      </c>
      <c r="F22" s="36">
        <v>0</v>
      </c>
      <c r="G22" s="35">
        <v>0</v>
      </c>
      <c r="H22" s="36">
        <v>0</v>
      </c>
      <c r="I22" s="35">
        <v>0</v>
      </c>
      <c r="J22" s="36">
        <v>0</v>
      </c>
      <c r="K22" s="36">
        <v>0</v>
      </c>
      <c r="L22" s="35">
        <v>0</v>
      </c>
      <c r="M22" s="34">
        <v>1</v>
      </c>
      <c r="N22" s="29">
        <v>1</v>
      </c>
      <c r="O22" s="35">
        <v>0</v>
      </c>
      <c r="P22" s="35">
        <v>0</v>
      </c>
      <c r="Q22" s="36">
        <v>0</v>
      </c>
      <c r="R22" s="35">
        <v>0</v>
      </c>
      <c r="S22" s="35">
        <v>0</v>
      </c>
      <c r="T22" s="36">
        <v>0</v>
      </c>
      <c r="U22" s="35">
        <v>0</v>
      </c>
      <c r="V22" s="36">
        <v>0</v>
      </c>
      <c r="W22" s="36">
        <v>0</v>
      </c>
      <c r="X22" s="35">
        <v>0</v>
      </c>
      <c r="Y22" s="36">
        <v>0</v>
      </c>
      <c r="Z22" s="35">
        <v>0</v>
      </c>
      <c r="AA22" s="36">
        <v>0</v>
      </c>
      <c r="AB22" s="36">
        <v>0</v>
      </c>
      <c r="AC22" s="35">
        <v>0</v>
      </c>
    </row>
    <row r="23" spans="1:29" x14ac:dyDescent="0.3">
      <c r="A23" s="21" t="s">
        <v>127</v>
      </c>
      <c r="B23" s="35">
        <v>0</v>
      </c>
      <c r="C23" s="36">
        <v>0</v>
      </c>
      <c r="D23" s="35">
        <v>0</v>
      </c>
      <c r="E23" s="36">
        <v>0</v>
      </c>
      <c r="F23" s="36">
        <v>0</v>
      </c>
      <c r="G23" s="35">
        <v>0</v>
      </c>
      <c r="H23" s="36">
        <v>0</v>
      </c>
      <c r="I23" s="35">
        <v>0</v>
      </c>
      <c r="J23" s="36">
        <v>0</v>
      </c>
      <c r="K23" s="36">
        <v>0</v>
      </c>
      <c r="L23" s="35">
        <v>0</v>
      </c>
      <c r="M23" s="36">
        <v>0</v>
      </c>
      <c r="N23" s="35">
        <v>0</v>
      </c>
      <c r="O23" s="35">
        <v>0</v>
      </c>
      <c r="P23" s="35">
        <v>0</v>
      </c>
      <c r="Q23" s="36">
        <v>0</v>
      </c>
      <c r="R23" s="35">
        <v>0</v>
      </c>
      <c r="S23" s="35">
        <v>0</v>
      </c>
      <c r="T23" s="36">
        <v>0</v>
      </c>
      <c r="U23" s="35">
        <v>0</v>
      </c>
      <c r="V23" s="36">
        <v>0</v>
      </c>
      <c r="W23" s="36">
        <v>0</v>
      </c>
      <c r="X23" s="35">
        <v>0</v>
      </c>
      <c r="Y23" s="36">
        <v>0</v>
      </c>
      <c r="Z23" s="35">
        <v>0</v>
      </c>
      <c r="AA23" s="36">
        <v>0</v>
      </c>
      <c r="AB23" s="36">
        <v>0</v>
      </c>
      <c r="AC23" s="35">
        <v>0</v>
      </c>
    </row>
    <row r="24" spans="1:29" x14ac:dyDescent="0.3">
      <c r="A24" s="27" t="s">
        <v>128</v>
      </c>
      <c r="B24" s="35">
        <v>0</v>
      </c>
      <c r="C24" s="36">
        <v>0</v>
      </c>
      <c r="D24" s="35">
        <v>0</v>
      </c>
      <c r="E24" s="36">
        <v>0</v>
      </c>
      <c r="F24" s="36">
        <v>0</v>
      </c>
      <c r="G24" s="35">
        <v>0</v>
      </c>
      <c r="H24" s="36">
        <v>0</v>
      </c>
      <c r="I24" s="35">
        <v>0</v>
      </c>
      <c r="J24" s="36">
        <v>0</v>
      </c>
      <c r="K24" s="36">
        <v>0</v>
      </c>
      <c r="L24" s="29">
        <v>2</v>
      </c>
      <c r="M24" s="36">
        <v>0</v>
      </c>
      <c r="N24" s="35">
        <v>0</v>
      </c>
      <c r="O24" s="35">
        <v>0</v>
      </c>
      <c r="P24" s="35">
        <v>0</v>
      </c>
      <c r="Q24" s="36">
        <v>0</v>
      </c>
      <c r="R24" s="35">
        <v>0</v>
      </c>
      <c r="S24" s="35">
        <v>0</v>
      </c>
      <c r="T24" s="36">
        <v>0</v>
      </c>
      <c r="U24" s="35">
        <v>0</v>
      </c>
      <c r="V24" s="36">
        <v>0</v>
      </c>
      <c r="W24" s="36">
        <v>0</v>
      </c>
      <c r="X24" s="35">
        <v>0</v>
      </c>
      <c r="Y24" s="36">
        <v>0</v>
      </c>
      <c r="Z24" s="35">
        <v>0</v>
      </c>
      <c r="AA24" s="36">
        <v>0</v>
      </c>
      <c r="AB24" s="36">
        <v>0</v>
      </c>
      <c r="AC24" s="35">
        <v>0</v>
      </c>
    </row>
    <row r="25" spans="1:29" x14ac:dyDescent="0.3">
      <c r="A25" s="21" t="s">
        <v>129</v>
      </c>
      <c r="B25" s="29">
        <v>1</v>
      </c>
      <c r="C25" s="34">
        <v>28</v>
      </c>
      <c r="D25" s="29">
        <v>6</v>
      </c>
      <c r="E25" s="34">
        <v>10</v>
      </c>
      <c r="F25" s="36">
        <v>0</v>
      </c>
      <c r="G25" s="35">
        <v>0</v>
      </c>
      <c r="H25" s="34">
        <v>20</v>
      </c>
      <c r="I25" s="29">
        <v>11</v>
      </c>
      <c r="J25" s="34">
        <v>1</v>
      </c>
      <c r="K25" s="36">
        <v>0</v>
      </c>
      <c r="L25" s="35">
        <v>0</v>
      </c>
      <c r="M25" s="36">
        <v>0</v>
      </c>
      <c r="N25" s="29">
        <v>9</v>
      </c>
      <c r="O25" s="29">
        <v>3</v>
      </c>
      <c r="P25" s="35">
        <v>0</v>
      </c>
      <c r="Q25" s="34">
        <v>2</v>
      </c>
      <c r="R25" s="35">
        <v>0</v>
      </c>
      <c r="S25" s="35">
        <v>0</v>
      </c>
      <c r="T25" s="36">
        <v>0</v>
      </c>
      <c r="U25" s="29">
        <v>1</v>
      </c>
      <c r="V25" s="36">
        <v>0</v>
      </c>
      <c r="W25" s="36">
        <v>0</v>
      </c>
      <c r="X25" s="29">
        <v>1</v>
      </c>
      <c r="Y25" s="36">
        <v>0</v>
      </c>
      <c r="Z25" s="29">
        <v>1</v>
      </c>
      <c r="AA25" s="36">
        <v>0</v>
      </c>
      <c r="AB25" s="36">
        <v>0</v>
      </c>
      <c r="AC25" s="29">
        <v>20</v>
      </c>
    </row>
    <row r="26" spans="1:29" x14ac:dyDescent="0.3">
      <c r="A26" s="27" t="s">
        <v>130</v>
      </c>
      <c r="B26" s="35">
        <v>0</v>
      </c>
      <c r="C26" s="36">
        <v>0</v>
      </c>
      <c r="D26" s="35">
        <v>0</v>
      </c>
      <c r="E26" s="36">
        <v>0</v>
      </c>
      <c r="F26" s="36">
        <v>0</v>
      </c>
      <c r="G26" s="35">
        <v>0</v>
      </c>
      <c r="H26" s="36">
        <v>0</v>
      </c>
      <c r="I26" s="35">
        <v>0</v>
      </c>
      <c r="J26" s="36">
        <v>0</v>
      </c>
      <c r="K26" s="36">
        <v>0</v>
      </c>
      <c r="L26" s="35">
        <v>0</v>
      </c>
      <c r="M26" s="36">
        <v>0</v>
      </c>
      <c r="N26" s="35">
        <v>0</v>
      </c>
      <c r="O26" s="35">
        <v>0</v>
      </c>
      <c r="P26" s="35">
        <v>0</v>
      </c>
      <c r="Q26" s="36">
        <v>0</v>
      </c>
      <c r="R26" s="35">
        <v>0</v>
      </c>
      <c r="S26" s="35">
        <v>0</v>
      </c>
      <c r="T26" s="34">
        <v>5</v>
      </c>
      <c r="U26" s="29">
        <v>2</v>
      </c>
      <c r="V26" s="36">
        <v>0</v>
      </c>
      <c r="W26" s="36">
        <v>0</v>
      </c>
      <c r="X26" s="29">
        <v>13</v>
      </c>
      <c r="Y26" s="36">
        <v>0</v>
      </c>
      <c r="Z26" s="29">
        <v>1</v>
      </c>
      <c r="AA26" s="36">
        <v>0</v>
      </c>
      <c r="AB26" s="36">
        <v>0</v>
      </c>
      <c r="AC26" s="35">
        <v>0</v>
      </c>
    </row>
    <row r="27" spans="1:29" x14ac:dyDescent="0.3">
      <c r="A27" s="27" t="s">
        <v>131</v>
      </c>
      <c r="B27" s="35">
        <v>0</v>
      </c>
      <c r="C27" s="36">
        <v>0</v>
      </c>
      <c r="D27" s="35">
        <v>0</v>
      </c>
      <c r="E27" s="36">
        <v>0</v>
      </c>
      <c r="F27" s="36">
        <v>0</v>
      </c>
      <c r="G27" s="35">
        <v>0</v>
      </c>
      <c r="H27" s="36">
        <v>0</v>
      </c>
      <c r="I27" s="35">
        <v>0</v>
      </c>
      <c r="J27" s="36">
        <v>0</v>
      </c>
      <c r="K27" s="36">
        <v>0</v>
      </c>
      <c r="L27" s="35">
        <v>0</v>
      </c>
      <c r="M27" s="36">
        <v>0</v>
      </c>
      <c r="N27" s="35">
        <v>0</v>
      </c>
      <c r="O27" s="35">
        <v>0</v>
      </c>
      <c r="P27" s="35">
        <v>0</v>
      </c>
      <c r="Q27" s="36">
        <v>0</v>
      </c>
      <c r="R27" s="35">
        <v>0</v>
      </c>
      <c r="S27" s="35">
        <v>0</v>
      </c>
      <c r="T27" s="36">
        <v>0</v>
      </c>
      <c r="U27" s="35">
        <v>0</v>
      </c>
      <c r="V27" s="36">
        <v>0</v>
      </c>
      <c r="W27" s="36">
        <v>0</v>
      </c>
      <c r="X27" s="35">
        <v>0</v>
      </c>
      <c r="Y27" s="36">
        <v>0</v>
      </c>
      <c r="Z27" s="35">
        <v>0</v>
      </c>
      <c r="AA27" s="36">
        <v>0</v>
      </c>
      <c r="AB27" s="36">
        <v>0</v>
      </c>
      <c r="AC27" s="35">
        <v>0</v>
      </c>
    </row>
    <row r="28" spans="1:29" x14ac:dyDescent="0.3">
      <c r="A28" s="27" t="s">
        <v>132</v>
      </c>
      <c r="B28" s="35">
        <v>0</v>
      </c>
      <c r="C28" s="34">
        <v>24</v>
      </c>
      <c r="D28" s="29">
        <v>10</v>
      </c>
      <c r="E28" s="34">
        <v>6</v>
      </c>
      <c r="F28" s="36">
        <v>0</v>
      </c>
      <c r="G28" s="35">
        <v>0</v>
      </c>
      <c r="H28" s="34">
        <v>4</v>
      </c>
      <c r="I28" s="29">
        <v>1</v>
      </c>
      <c r="J28" s="34">
        <v>3</v>
      </c>
      <c r="K28" s="36">
        <v>0</v>
      </c>
      <c r="L28" s="29">
        <v>11</v>
      </c>
      <c r="M28" s="34">
        <v>5</v>
      </c>
      <c r="N28" s="29">
        <v>4</v>
      </c>
      <c r="O28" s="35">
        <v>0</v>
      </c>
      <c r="P28" s="35">
        <v>0</v>
      </c>
      <c r="Q28" s="34">
        <v>1</v>
      </c>
      <c r="R28" s="35">
        <v>0</v>
      </c>
      <c r="S28" s="35">
        <v>0</v>
      </c>
      <c r="T28" s="36">
        <v>0</v>
      </c>
      <c r="U28" s="35">
        <v>0</v>
      </c>
      <c r="V28" s="36">
        <v>0</v>
      </c>
      <c r="W28" s="36">
        <v>0</v>
      </c>
      <c r="X28" s="29">
        <v>39</v>
      </c>
      <c r="Y28" s="36">
        <v>0</v>
      </c>
      <c r="Z28" s="35">
        <v>0</v>
      </c>
      <c r="AA28" s="36">
        <v>0</v>
      </c>
      <c r="AB28" s="36">
        <v>0</v>
      </c>
      <c r="AC28" s="35">
        <v>0</v>
      </c>
    </row>
    <row r="29" spans="1:29" x14ac:dyDescent="0.3">
      <c r="A29" s="27" t="s">
        <v>133</v>
      </c>
      <c r="B29" s="35">
        <v>0</v>
      </c>
      <c r="C29" s="36">
        <v>0</v>
      </c>
      <c r="D29" s="35">
        <v>0</v>
      </c>
      <c r="E29" s="36">
        <v>0</v>
      </c>
      <c r="F29" s="36">
        <v>0</v>
      </c>
      <c r="G29" s="35">
        <v>0</v>
      </c>
      <c r="H29" s="36">
        <v>0</v>
      </c>
      <c r="I29" s="35">
        <v>0</v>
      </c>
      <c r="J29" s="36">
        <v>0</v>
      </c>
      <c r="K29" s="36">
        <v>0</v>
      </c>
      <c r="L29" s="35">
        <v>0</v>
      </c>
      <c r="M29" s="36">
        <v>0</v>
      </c>
      <c r="N29" s="35">
        <v>0</v>
      </c>
      <c r="O29" s="35">
        <v>0</v>
      </c>
      <c r="P29" s="35">
        <v>0</v>
      </c>
      <c r="Q29" s="36">
        <v>0</v>
      </c>
      <c r="R29" s="35">
        <v>0</v>
      </c>
      <c r="S29" s="35">
        <v>0</v>
      </c>
      <c r="T29" s="34">
        <v>15</v>
      </c>
      <c r="U29" s="29">
        <v>10</v>
      </c>
      <c r="V29" s="36">
        <v>0</v>
      </c>
      <c r="W29" s="36">
        <v>0</v>
      </c>
      <c r="X29" s="29">
        <v>10</v>
      </c>
      <c r="Y29" s="34">
        <v>19</v>
      </c>
      <c r="Z29" s="29">
        <v>42</v>
      </c>
      <c r="AA29" s="34">
        <v>1</v>
      </c>
      <c r="AB29" s="36">
        <v>0</v>
      </c>
      <c r="AC29" s="29">
        <v>2</v>
      </c>
    </row>
    <row r="30" spans="1:29" x14ac:dyDescent="0.3">
      <c r="A30" s="27" t="s">
        <v>134</v>
      </c>
      <c r="B30" s="29">
        <v>3</v>
      </c>
      <c r="C30" s="36">
        <v>0</v>
      </c>
      <c r="D30" s="29">
        <v>14</v>
      </c>
      <c r="E30" s="34">
        <v>9</v>
      </c>
      <c r="F30" s="34">
        <v>117</v>
      </c>
      <c r="G30" s="35">
        <v>0</v>
      </c>
      <c r="H30" s="36">
        <v>0</v>
      </c>
      <c r="I30" s="29">
        <v>1</v>
      </c>
      <c r="J30" s="34">
        <v>2</v>
      </c>
      <c r="K30" s="34">
        <v>1</v>
      </c>
      <c r="L30" s="29">
        <v>1</v>
      </c>
      <c r="M30" s="34">
        <v>6</v>
      </c>
      <c r="N30" s="29">
        <v>9</v>
      </c>
      <c r="O30" s="29">
        <v>22</v>
      </c>
      <c r="P30" s="29">
        <v>4</v>
      </c>
      <c r="Q30" s="34">
        <v>1</v>
      </c>
      <c r="R30" s="35">
        <v>0</v>
      </c>
      <c r="S30" s="35">
        <v>0</v>
      </c>
      <c r="T30" s="36">
        <v>0</v>
      </c>
      <c r="U30" s="35">
        <v>0</v>
      </c>
      <c r="V30" s="34">
        <v>1</v>
      </c>
      <c r="W30" s="36">
        <v>0</v>
      </c>
      <c r="X30" s="35">
        <v>0</v>
      </c>
      <c r="Y30" s="36">
        <v>0</v>
      </c>
      <c r="Z30" s="35">
        <v>0</v>
      </c>
      <c r="AA30" s="36">
        <v>0</v>
      </c>
      <c r="AB30" s="34">
        <v>1</v>
      </c>
      <c r="AC30" s="35">
        <v>0</v>
      </c>
    </row>
    <row r="31" spans="1:29" x14ac:dyDescent="0.3">
      <c r="A31" s="27" t="s">
        <v>135</v>
      </c>
      <c r="B31" s="29">
        <v>6</v>
      </c>
      <c r="C31" s="36">
        <v>0</v>
      </c>
      <c r="D31" s="35">
        <v>0</v>
      </c>
      <c r="E31" s="36">
        <v>0</v>
      </c>
      <c r="F31" s="36">
        <v>0</v>
      </c>
      <c r="G31" s="35">
        <v>0</v>
      </c>
      <c r="H31" s="36">
        <v>0</v>
      </c>
      <c r="I31" s="35">
        <v>0</v>
      </c>
      <c r="J31" s="34">
        <v>2</v>
      </c>
      <c r="K31" s="36">
        <v>0</v>
      </c>
      <c r="L31" s="29">
        <v>2</v>
      </c>
      <c r="M31" s="36">
        <v>0</v>
      </c>
      <c r="N31" s="35">
        <v>0</v>
      </c>
      <c r="O31" s="35">
        <v>0</v>
      </c>
      <c r="P31" s="35">
        <v>0</v>
      </c>
      <c r="Q31" s="36">
        <v>0</v>
      </c>
      <c r="R31" s="35">
        <v>0</v>
      </c>
      <c r="S31" s="35">
        <v>0</v>
      </c>
      <c r="T31" s="36">
        <v>0</v>
      </c>
      <c r="U31" s="35">
        <v>0</v>
      </c>
      <c r="V31" s="36">
        <v>0</v>
      </c>
      <c r="W31" s="36">
        <v>0</v>
      </c>
      <c r="X31" s="35">
        <v>0</v>
      </c>
      <c r="Y31" s="36">
        <v>0</v>
      </c>
      <c r="Z31" s="35">
        <v>0</v>
      </c>
      <c r="AA31" s="36">
        <v>0</v>
      </c>
      <c r="AB31" s="36">
        <v>0</v>
      </c>
      <c r="AC31" s="35">
        <v>0</v>
      </c>
    </row>
    <row r="32" spans="1:29" x14ac:dyDescent="0.3">
      <c r="A32" s="27" t="s">
        <v>136</v>
      </c>
      <c r="B32" s="35">
        <v>0</v>
      </c>
      <c r="C32" s="36">
        <v>0</v>
      </c>
      <c r="D32" s="35">
        <v>0</v>
      </c>
      <c r="E32" s="36">
        <v>0</v>
      </c>
      <c r="F32" s="36">
        <v>0</v>
      </c>
      <c r="G32" s="35">
        <v>0</v>
      </c>
      <c r="H32" s="36">
        <v>0</v>
      </c>
      <c r="I32" s="35">
        <v>0</v>
      </c>
      <c r="J32" s="36">
        <v>0</v>
      </c>
      <c r="K32" s="36">
        <v>0</v>
      </c>
      <c r="L32" s="35">
        <v>0</v>
      </c>
      <c r="M32" s="36">
        <v>0</v>
      </c>
      <c r="N32" s="35">
        <v>0</v>
      </c>
      <c r="O32" s="35">
        <v>0</v>
      </c>
      <c r="P32" s="35">
        <v>0</v>
      </c>
      <c r="Q32" s="36">
        <v>0</v>
      </c>
      <c r="R32" s="35">
        <v>0</v>
      </c>
      <c r="S32" s="35">
        <v>0</v>
      </c>
      <c r="T32" s="34">
        <v>1</v>
      </c>
      <c r="U32" s="35">
        <v>0</v>
      </c>
      <c r="V32" s="36">
        <v>0</v>
      </c>
      <c r="W32" s="36">
        <v>0</v>
      </c>
      <c r="X32" s="29">
        <v>12</v>
      </c>
      <c r="Y32" s="36">
        <v>0</v>
      </c>
      <c r="Z32" s="35">
        <v>0</v>
      </c>
      <c r="AA32" s="36">
        <v>0</v>
      </c>
      <c r="AB32" s="36">
        <v>0</v>
      </c>
      <c r="AC32" s="29">
        <v>3</v>
      </c>
    </row>
    <row r="33" spans="1:29" x14ac:dyDescent="0.3">
      <c r="A33" s="27" t="s">
        <v>137</v>
      </c>
      <c r="B33" s="29">
        <v>6</v>
      </c>
      <c r="C33" s="34">
        <v>53</v>
      </c>
      <c r="D33" s="29">
        <v>15</v>
      </c>
      <c r="E33" s="34">
        <v>7</v>
      </c>
      <c r="F33" s="34">
        <v>6</v>
      </c>
      <c r="G33" s="29">
        <v>5</v>
      </c>
      <c r="H33" s="34">
        <v>35</v>
      </c>
      <c r="I33" s="29">
        <v>52</v>
      </c>
      <c r="J33" s="34">
        <v>91</v>
      </c>
      <c r="K33" s="36">
        <v>0</v>
      </c>
      <c r="L33" s="29">
        <v>36</v>
      </c>
      <c r="M33" s="34">
        <v>9</v>
      </c>
      <c r="N33" s="29">
        <v>4</v>
      </c>
      <c r="O33" s="29">
        <v>23</v>
      </c>
      <c r="P33" s="29">
        <v>34</v>
      </c>
      <c r="Q33" s="34">
        <v>1</v>
      </c>
      <c r="R33" s="29">
        <v>63</v>
      </c>
      <c r="S33" s="35">
        <v>0</v>
      </c>
      <c r="T33" s="36">
        <v>0</v>
      </c>
      <c r="U33" s="29">
        <v>25</v>
      </c>
      <c r="V33" s="36">
        <v>0</v>
      </c>
      <c r="W33" s="36">
        <v>0</v>
      </c>
      <c r="X33" s="35">
        <v>0</v>
      </c>
      <c r="Y33" s="36">
        <v>0</v>
      </c>
      <c r="Z33" s="35">
        <v>0</v>
      </c>
      <c r="AA33" s="36">
        <v>0</v>
      </c>
      <c r="AB33" s="34">
        <v>29</v>
      </c>
      <c r="AC33" s="29">
        <v>18</v>
      </c>
    </row>
    <row r="34" spans="1:29" x14ac:dyDescent="0.3">
      <c r="A34" s="27" t="s">
        <v>138</v>
      </c>
      <c r="B34" s="35">
        <v>0</v>
      </c>
      <c r="C34" s="36">
        <v>0</v>
      </c>
      <c r="D34" s="35">
        <v>0</v>
      </c>
      <c r="E34" s="36">
        <v>0</v>
      </c>
      <c r="F34" s="36">
        <v>0</v>
      </c>
      <c r="G34" s="35">
        <v>0</v>
      </c>
      <c r="H34" s="36">
        <v>0</v>
      </c>
      <c r="I34" s="35">
        <v>0</v>
      </c>
      <c r="J34" s="36">
        <v>0</v>
      </c>
      <c r="K34" s="36">
        <v>0</v>
      </c>
      <c r="L34" s="35">
        <v>0</v>
      </c>
      <c r="M34" s="36">
        <v>0</v>
      </c>
      <c r="N34" s="35">
        <v>0</v>
      </c>
      <c r="O34" s="35">
        <v>0</v>
      </c>
      <c r="P34" s="35">
        <v>0</v>
      </c>
      <c r="Q34" s="36">
        <v>0</v>
      </c>
      <c r="R34" s="35">
        <v>0</v>
      </c>
      <c r="S34" s="29">
        <v>73</v>
      </c>
      <c r="T34" s="34">
        <v>113</v>
      </c>
      <c r="U34" s="29">
        <v>5</v>
      </c>
      <c r="V34" s="34">
        <v>134</v>
      </c>
      <c r="W34" s="34">
        <v>119</v>
      </c>
      <c r="X34" s="29">
        <v>19</v>
      </c>
      <c r="Y34" s="34">
        <v>153</v>
      </c>
      <c r="Z34" s="29">
        <v>27</v>
      </c>
      <c r="AA34" s="34">
        <v>148</v>
      </c>
      <c r="AB34" s="34">
        <v>29</v>
      </c>
      <c r="AC34" s="29">
        <v>7</v>
      </c>
    </row>
    <row r="35" spans="1:29" x14ac:dyDescent="0.3">
      <c r="A35" s="27" t="s">
        <v>139</v>
      </c>
      <c r="B35" s="29">
        <v>82</v>
      </c>
      <c r="C35" s="34">
        <v>8</v>
      </c>
      <c r="D35" s="29">
        <v>2</v>
      </c>
      <c r="E35" s="34">
        <v>10</v>
      </c>
      <c r="F35" s="34">
        <v>18</v>
      </c>
      <c r="G35" s="29">
        <v>1</v>
      </c>
      <c r="H35" s="34">
        <v>21</v>
      </c>
      <c r="I35" s="29">
        <v>3</v>
      </c>
      <c r="J35" s="34">
        <v>64</v>
      </c>
      <c r="K35" s="34">
        <v>2</v>
      </c>
      <c r="L35" s="29">
        <v>15</v>
      </c>
      <c r="M35" s="34">
        <v>5</v>
      </c>
      <c r="N35" s="29">
        <v>6</v>
      </c>
      <c r="O35" s="29">
        <v>37</v>
      </c>
      <c r="P35" s="29">
        <v>37</v>
      </c>
      <c r="Q35" s="34">
        <v>1</v>
      </c>
      <c r="R35" s="29">
        <v>33</v>
      </c>
      <c r="S35" s="35">
        <v>0</v>
      </c>
      <c r="T35" s="36">
        <v>0</v>
      </c>
      <c r="U35" s="35">
        <v>0</v>
      </c>
      <c r="V35" s="36">
        <v>0</v>
      </c>
      <c r="W35" s="36">
        <v>0</v>
      </c>
      <c r="X35" s="35">
        <v>0</v>
      </c>
      <c r="Y35" s="36">
        <v>0</v>
      </c>
      <c r="Z35" s="35">
        <v>0</v>
      </c>
      <c r="AA35" s="36">
        <v>0</v>
      </c>
      <c r="AB35" s="36">
        <v>0</v>
      </c>
      <c r="AC35" s="35">
        <v>0</v>
      </c>
    </row>
    <row r="36" spans="1:29" x14ac:dyDescent="0.3">
      <c r="A36" s="27" t="s">
        <v>140</v>
      </c>
      <c r="B36" s="35">
        <v>0</v>
      </c>
      <c r="C36" s="36">
        <v>0</v>
      </c>
      <c r="D36" s="35">
        <v>0</v>
      </c>
      <c r="E36" s="36">
        <v>0</v>
      </c>
      <c r="F36" s="36">
        <v>0</v>
      </c>
      <c r="G36" s="35">
        <v>0</v>
      </c>
      <c r="H36" s="36">
        <v>0</v>
      </c>
      <c r="I36" s="35">
        <v>0</v>
      </c>
      <c r="J36" s="36">
        <v>0</v>
      </c>
      <c r="K36" s="36">
        <v>0</v>
      </c>
      <c r="L36" s="35">
        <v>0</v>
      </c>
      <c r="M36" s="36">
        <v>0</v>
      </c>
      <c r="N36" s="35">
        <v>0</v>
      </c>
      <c r="O36" s="35">
        <v>0</v>
      </c>
      <c r="P36" s="35">
        <v>0</v>
      </c>
      <c r="Q36" s="36">
        <v>0</v>
      </c>
      <c r="R36" s="35">
        <v>0</v>
      </c>
      <c r="S36" s="35">
        <v>0</v>
      </c>
      <c r="T36" s="36">
        <v>0</v>
      </c>
      <c r="U36" s="35">
        <v>0</v>
      </c>
      <c r="V36" s="36">
        <v>0</v>
      </c>
      <c r="W36" s="36">
        <v>0</v>
      </c>
      <c r="X36" s="35">
        <v>0</v>
      </c>
      <c r="Y36" s="36">
        <v>0</v>
      </c>
      <c r="Z36" s="35">
        <v>0</v>
      </c>
      <c r="AA36" s="36">
        <v>0</v>
      </c>
      <c r="AB36" s="36">
        <v>0</v>
      </c>
      <c r="AC36" s="35">
        <v>0</v>
      </c>
    </row>
    <row r="37" spans="1:29" x14ac:dyDescent="0.3">
      <c r="A37" s="27" t="s">
        <v>141</v>
      </c>
      <c r="B37" s="35">
        <v>0</v>
      </c>
      <c r="C37" s="36">
        <v>0</v>
      </c>
      <c r="D37" s="35">
        <v>0</v>
      </c>
      <c r="E37" s="36">
        <v>0</v>
      </c>
      <c r="F37" s="36">
        <v>0</v>
      </c>
      <c r="G37" s="35">
        <v>0</v>
      </c>
      <c r="H37" s="36">
        <v>0</v>
      </c>
      <c r="I37" s="35">
        <v>0</v>
      </c>
      <c r="J37" s="36">
        <v>0</v>
      </c>
      <c r="K37" s="36">
        <v>0</v>
      </c>
      <c r="L37" s="35">
        <v>0</v>
      </c>
      <c r="M37" s="36">
        <v>0</v>
      </c>
      <c r="N37" s="35">
        <v>0</v>
      </c>
      <c r="O37" s="35">
        <v>0</v>
      </c>
      <c r="P37" s="29">
        <v>2</v>
      </c>
      <c r="Q37" s="36">
        <v>0</v>
      </c>
      <c r="R37" s="35">
        <v>0</v>
      </c>
      <c r="S37" s="35">
        <v>0</v>
      </c>
      <c r="T37" s="36">
        <v>0</v>
      </c>
      <c r="U37" s="29">
        <v>2</v>
      </c>
      <c r="V37" s="36">
        <v>0</v>
      </c>
      <c r="W37" s="34">
        <v>13</v>
      </c>
      <c r="X37" s="35">
        <v>0</v>
      </c>
      <c r="Y37" s="36">
        <v>0</v>
      </c>
      <c r="Z37" s="35">
        <v>0</v>
      </c>
      <c r="AA37" s="34">
        <v>4</v>
      </c>
      <c r="AB37" s="36">
        <v>0</v>
      </c>
      <c r="AC37" s="35">
        <v>0</v>
      </c>
    </row>
    <row r="38" spans="1:29" x14ac:dyDescent="0.3">
      <c r="A38" s="27" t="s">
        <v>142</v>
      </c>
      <c r="B38" s="35">
        <v>0</v>
      </c>
      <c r="C38" s="34">
        <v>2</v>
      </c>
      <c r="D38" s="35">
        <v>0</v>
      </c>
      <c r="E38" s="34">
        <v>7</v>
      </c>
      <c r="F38" s="36">
        <v>0</v>
      </c>
      <c r="G38" s="35">
        <v>0</v>
      </c>
      <c r="H38" s="34">
        <v>2</v>
      </c>
      <c r="I38" s="35">
        <v>0</v>
      </c>
      <c r="J38" s="36">
        <v>0</v>
      </c>
      <c r="K38" s="36">
        <v>0</v>
      </c>
      <c r="L38" s="35">
        <v>0</v>
      </c>
      <c r="M38" s="36">
        <v>0</v>
      </c>
      <c r="N38" s="35">
        <v>0</v>
      </c>
      <c r="O38" s="35">
        <v>0</v>
      </c>
      <c r="P38" s="35">
        <v>0</v>
      </c>
      <c r="Q38" s="36">
        <v>0</v>
      </c>
      <c r="R38" s="35">
        <v>0</v>
      </c>
      <c r="S38" s="35">
        <v>0</v>
      </c>
      <c r="T38" s="36">
        <v>0</v>
      </c>
      <c r="U38" s="35">
        <v>0</v>
      </c>
      <c r="V38" s="36">
        <v>0</v>
      </c>
      <c r="W38" s="36">
        <v>0</v>
      </c>
      <c r="X38" s="35">
        <v>0</v>
      </c>
      <c r="Y38" s="36">
        <v>0</v>
      </c>
      <c r="Z38" s="35">
        <v>0</v>
      </c>
      <c r="AA38" s="36">
        <v>0</v>
      </c>
      <c r="AB38" s="36">
        <v>0</v>
      </c>
      <c r="AC38" s="35">
        <v>0</v>
      </c>
    </row>
    <row r="39" spans="1:29" x14ac:dyDescent="0.3">
      <c r="A39" s="27" t="s">
        <v>143</v>
      </c>
      <c r="B39" s="35">
        <v>0</v>
      </c>
      <c r="C39" s="36">
        <v>0</v>
      </c>
      <c r="D39" s="35">
        <v>0</v>
      </c>
      <c r="E39" s="36">
        <v>0</v>
      </c>
      <c r="F39" s="36">
        <v>0</v>
      </c>
      <c r="G39" s="35">
        <v>0</v>
      </c>
      <c r="H39" s="36">
        <v>0</v>
      </c>
      <c r="I39" s="35">
        <v>0</v>
      </c>
      <c r="J39" s="36">
        <v>0</v>
      </c>
      <c r="K39" s="36">
        <v>0</v>
      </c>
      <c r="L39" s="35">
        <v>0</v>
      </c>
      <c r="M39" s="36">
        <v>0</v>
      </c>
      <c r="N39" s="35">
        <v>0</v>
      </c>
      <c r="O39" s="35">
        <v>0</v>
      </c>
      <c r="P39" s="35">
        <v>0</v>
      </c>
      <c r="Q39" s="36">
        <v>0</v>
      </c>
      <c r="R39" s="35">
        <v>0</v>
      </c>
      <c r="S39" s="35">
        <v>0</v>
      </c>
      <c r="T39" s="36">
        <v>0</v>
      </c>
      <c r="U39" s="35">
        <v>0</v>
      </c>
      <c r="V39" s="36">
        <v>0</v>
      </c>
      <c r="W39" s="36">
        <v>0</v>
      </c>
      <c r="X39" s="29">
        <v>3</v>
      </c>
      <c r="Y39" s="36">
        <v>0</v>
      </c>
      <c r="Z39" s="35">
        <v>0</v>
      </c>
      <c r="AA39" s="36">
        <v>0</v>
      </c>
      <c r="AB39" s="36">
        <v>0</v>
      </c>
      <c r="AC39" s="35">
        <v>0</v>
      </c>
    </row>
    <row r="40" spans="1:29" x14ac:dyDescent="0.3">
      <c r="A40" s="27" t="s">
        <v>144</v>
      </c>
      <c r="B40" s="35">
        <v>0</v>
      </c>
      <c r="C40" s="36">
        <v>0</v>
      </c>
      <c r="D40" s="35">
        <v>0</v>
      </c>
      <c r="E40" s="36">
        <v>0</v>
      </c>
      <c r="F40" s="36">
        <v>0</v>
      </c>
      <c r="G40" s="35">
        <v>0</v>
      </c>
      <c r="H40" s="34">
        <v>1</v>
      </c>
      <c r="I40" s="35">
        <v>0</v>
      </c>
      <c r="J40" s="36">
        <v>0</v>
      </c>
      <c r="K40" s="36">
        <v>0</v>
      </c>
      <c r="L40" s="35">
        <v>0</v>
      </c>
      <c r="M40" s="36">
        <v>0</v>
      </c>
      <c r="N40" s="35">
        <v>0</v>
      </c>
      <c r="O40" s="35">
        <v>0</v>
      </c>
      <c r="P40" s="35">
        <v>0</v>
      </c>
      <c r="Q40" s="36">
        <v>0</v>
      </c>
      <c r="R40" s="35">
        <v>0</v>
      </c>
      <c r="S40" s="35">
        <v>0</v>
      </c>
      <c r="T40" s="36">
        <v>0</v>
      </c>
      <c r="U40" s="35">
        <v>0</v>
      </c>
      <c r="V40" s="36">
        <v>0</v>
      </c>
      <c r="W40" s="36">
        <v>0</v>
      </c>
      <c r="X40" s="35">
        <v>0</v>
      </c>
      <c r="Y40" s="36">
        <v>0</v>
      </c>
      <c r="Z40" s="35">
        <v>0</v>
      </c>
      <c r="AA40" s="36">
        <v>0</v>
      </c>
      <c r="AB40" s="36">
        <v>0</v>
      </c>
      <c r="AC40" s="35">
        <v>0</v>
      </c>
    </row>
    <row r="41" spans="1:29" x14ac:dyDescent="0.3">
      <c r="A41" s="27" t="s">
        <v>145</v>
      </c>
      <c r="B41" s="35">
        <v>0</v>
      </c>
      <c r="C41" s="36">
        <v>0</v>
      </c>
      <c r="D41" s="35">
        <v>0</v>
      </c>
      <c r="E41" s="36">
        <v>0</v>
      </c>
      <c r="F41" s="36">
        <v>0</v>
      </c>
      <c r="G41" s="35">
        <v>0</v>
      </c>
      <c r="H41" s="36">
        <v>0</v>
      </c>
      <c r="I41" s="35">
        <v>0</v>
      </c>
      <c r="J41" s="36">
        <v>0</v>
      </c>
      <c r="K41" s="36">
        <v>0</v>
      </c>
      <c r="L41" s="35">
        <v>0</v>
      </c>
      <c r="M41" s="36">
        <v>0</v>
      </c>
      <c r="N41" s="35">
        <v>0</v>
      </c>
      <c r="O41" s="35">
        <v>0</v>
      </c>
      <c r="P41" s="35">
        <v>0</v>
      </c>
      <c r="Q41" s="36">
        <v>0</v>
      </c>
      <c r="R41" s="35">
        <v>0</v>
      </c>
      <c r="S41" s="35">
        <v>0</v>
      </c>
      <c r="T41" s="36">
        <v>0</v>
      </c>
      <c r="U41" s="35">
        <v>0</v>
      </c>
      <c r="V41" s="36">
        <v>0</v>
      </c>
      <c r="W41" s="36">
        <v>0</v>
      </c>
      <c r="X41" s="35">
        <v>0</v>
      </c>
      <c r="Y41" s="36">
        <v>0</v>
      </c>
      <c r="Z41" s="35">
        <v>0</v>
      </c>
      <c r="AA41" s="36">
        <v>0</v>
      </c>
      <c r="AB41" s="36">
        <v>0</v>
      </c>
      <c r="AC41" s="35">
        <v>0</v>
      </c>
    </row>
    <row r="42" spans="1:29" x14ac:dyDescent="0.3">
      <c r="A42" s="21" t="s">
        <v>146</v>
      </c>
      <c r="B42" s="35">
        <v>0</v>
      </c>
      <c r="C42" s="36">
        <v>0</v>
      </c>
      <c r="D42" s="35">
        <v>0</v>
      </c>
      <c r="E42" s="36">
        <v>0</v>
      </c>
      <c r="F42" s="36">
        <v>0</v>
      </c>
      <c r="G42" s="35">
        <v>0</v>
      </c>
      <c r="H42" s="36">
        <v>0</v>
      </c>
      <c r="I42" s="35">
        <v>0</v>
      </c>
      <c r="J42" s="36">
        <v>0</v>
      </c>
      <c r="K42" s="36">
        <v>0</v>
      </c>
      <c r="L42" s="35">
        <v>0</v>
      </c>
      <c r="M42" s="36">
        <v>0</v>
      </c>
      <c r="N42" s="35">
        <v>0</v>
      </c>
      <c r="O42" s="35">
        <v>0</v>
      </c>
      <c r="P42" s="35">
        <v>0</v>
      </c>
      <c r="Q42" s="36">
        <v>0</v>
      </c>
      <c r="R42" s="35">
        <v>0</v>
      </c>
      <c r="S42" s="35">
        <v>0</v>
      </c>
      <c r="T42" s="36">
        <v>0</v>
      </c>
      <c r="U42" s="35">
        <v>0</v>
      </c>
      <c r="V42" s="36">
        <v>0</v>
      </c>
      <c r="W42" s="36">
        <v>0</v>
      </c>
      <c r="X42" s="35">
        <v>0</v>
      </c>
      <c r="Y42" s="36">
        <v>0</v>
      </c>
      <c r="Z42" s="35">
        <v>0</v>
      </c>
      <c r="AA42" s="36">
        <v>0</v>
      </c>
      <c r="AB42" s="36">
        <v>0</v>
      </c>
      <c r="AC42" s="35">
        <v>0</v>
      </c>
    </row>
    <row r="43" spans="1:29" x14ac:dyDescent="0.3">
      <c r="A43" s="27" t="s">
        <v>147</v>
      </c>
      <c r="B43" s="35">
        <v>0</v>
      </c>
      <c r="C43" s="36">
        <v>0</v>
      </c>
      <c r="D43" s="35">
        <v>0</v>
      </c>
      <c r="E43" s="36">
        <v>0</v>
      </c>
      <c r="F43" s="36">
        <v>0</v>
      </c>
      <c r="G43" s="35">
        <v>0</v>
      </c>
      <c r="H43" s="36">
        <v>0</v>
      </c>
      <c r="I43" s="35">
        <v>0</v>
      </c>
      <c r="J43" s="36">
        <v>0</v>
      </c>
      <c r="K43" s="36">
        <v>0</v>
      </c>
      <c r="L43" s="35">
        <v>0</v>
      </c>
      <c r="M43" s="36">
        <v>0</v>
      </c>
      <c r="N43" s="35">
        <v>0</v>
      </c>
      <c r="O43" s="35">
        <v>0</v>
      </c>
      <c r="P43" s="35">
        <v>0</v>
      </c>
      <c r="Q43" s="36">
        <v>0</v>
      </c>
      <c r="R43" s="35">
        <v>0</v>
      </c>
      <c r="S43" s="35">
        <v>0</v>
      </c>
      <c r="T43" s="36">
        <v>0</v>
      </c>
      <c r="U43" s="35">
        <v>0</v>
      </c>
      <c r="V43" s="36">
        <v>0</v>
      </c>
      <c r="W43" s="36">
        <v>0</v>
      </c>
      <c r="X43" s="29">
        <v>1</v>
      </c>
      <c r="Y43" s="36">
        <v>0</v>
      </c>
      <c r="Z43" s="35">
        <v>0</v>
      </c>
      <c r="AA43" s="36">
        <v>0</v>
      </c>
      <c r="AB43" s="36">
        <v>0</v>
      </c>
      <c r="AC43" s="35">
        <v>0</v>
      </c>
    </row>
    <row r="44" spans="1:29" x14ac:dyDescent="0.3">
      <c r="A44" s="21" t="s">
        <v>148</v>
      </c>
      <c r="B44" s="35">
        <v>0</v>
      </c>
      <c r="C44" s="36">
        <v>0</v>
      </c>
      <c r="D44" s="35">
        <v>0</v>
      </c>
      <c r="E44" s="36">
        <v>0</v>
      </c>
      <c r="F44" s="36">
        <v>0</v>
      </c>
      <c r="G44" s="35">
        <v>0</v>
      </c>
      <c r="H44" s="36">
        <v>0</v>
      </c>
      <c r="I44" s="35">
        <v>0</v>
      </c>
      <c r="J44" s="36">
        <v>0</v>
      </c>
      <c r="K44" s="36">
        <v>0</v>
      </c>
      <c r="L44" s="35">
        <v>0</v>
      </c>
      <c r="M44" s="36">
        <v>0</v>
      </c>
      <c r="N44" s="35">
        <v>0</v>
      </c>
      <c r="O44" s="35">
        <v>0</v>
      </c>
      <c r="P44" s="35">
        <v>0</v>
      </c>
      <c r="Q44" s="36">
        <v>0</v>
      </c>
      <c r="R44" s="35">
        <v>0</v>
      </c>
      <c r="S44" s="35">
        <v>0</v>
      </c>
      <c r="T44" s="36">
        <v>0</v>
      </c>
      <c r="U44" s="35">
        <v>0</v>
      </c>
      <c r="V44" s="36">
        <v>0</v>
      </c>
      <c r="W44" s="36">
        <v>0</v>
      </c>
      <c r="X44" s="35">
        <v>0</v>
      </c>
      <c r="Y44" s="36">
        <v>0</v>
      </c>
      <c r="Z44" s="35">
        <v>0</v>
      </c>
      <c r="AA44" s="36">
        <v>0</v>
      </c>
      <c r="AB44" s="36">
        <v>0</v>
      </c>
      <c r="AC44" s="35">
        <v>0</v>
      </c>
    </row>
    <row r="45" spans="1:29" x14ac:dyDescent="0.3">
      <c r="A45" s="27" t="s">
        <v>149</v>
      </c>
      <c r="B45" s="35">
        <v>0</v>
      </c>
      <c r="C45" s="34">
        <v>3</v>
      </c>
      <c r="D45" s="35">
        <v>0</v>
      </c>
      <c r="E45" s="36">
        <v>0</v>
      </c>
      <c r="F45" s="36">
        <v>0</v>
      </c>
      <c r="G45" s="35">
        <v>0</v>
      </c>
      <c r="H45" s="36">
        <v>0</v>
      </c>
      <c r="I45" s="35">
        <v>0</v>
      </c>
      <c r="J45" s="36">
        <v>0</v>
      </c>
      <c r="K45" s="36">
        <v>0</v>
      </c>
      <c r="L45" s="29">
        <v>7</v>
      </c>
      <c r="M45" s="34">
        <v>1</v>
      </c>
      <c r="N45" s="35">
        <v>0</v>
      </c>
      <c r="O45" s="35">
        <v>0</v>
      </c>
      <c r="P45" s="29">
        <v>12</v>
      </c>
      <c r="Q45" s="36">
        <v>0</v>
      </c>
      <c r="R45" s="35">
        <v>0</v>
      </c>
      <c r="S45" s="35">
        <v>0</v>
      </c>
      <c r="T45" s="36">
        <v>0</v>
      </c>
      <c r="U45" s="35">
        <v>0</v>
      </c>
      <c r="V45" s="36">
        <v>0</v>
      </c>
      <c r="W45" s="36">
        <v>0</v>
      </c>
      <c r="X45" s="35">
        <v>0</v>
      </c>
      <c r="Y45" s="36">
        <v>0</v>
      </c>
      <c r="Z45" s="35">
        <v>0</v>
      </c>
      <c r="AA45" s="36">
        <v>0</v>
      </c>
      <c r="AB45" s="34">
        <v>1</v>
      </c>
      <c r="AC45" s="35">
        <v>0</v>
      </c>
    </row>
    <row r="46" spans="1:29" x14ac:dyDescent="0.3">
      <c r="A46" s="27" t="s">
        <v>150</v>
      </c>
      <c r="B46" s="35">
        <v>0</v>
      </c>
      <c r="C46" s="36">
        <v>0</v>
      </c>
      <c r="D46" s="35">
        <v>0</v>
      </c>
      <c r="E46" s="36">
        <v>0</v>
      </c>
      <c r="F46" s="36">
        <v>0</v>
      </c>
      <c r="G46" s="35">
        <v>0</v>
      </c>
      <c r="H46" s="36">
        <v>0</v>
      </c>
      <c r="I46" s="35">
        <v>0</v>
      </c>
      <c r="J46" s="36">
        <v>0</v>
      </c>
      <c r="K46" s="36">
        <v>0</v>
      </c>
      <c r="L46" s="35">
        <v>0</v>
      </c>
      <c r="M46" s="36">
        <v>0</v>
      </c>
      <c r="N46" s="35">
        <v>0</v>
      </c>
      <c r="O46" s="35">
        <v>0</v>
      </c>
      <c r="P46" s="35">
        <v>0</v>
      </c>
      <c r="Q46" s="36">
        <v>0</v>
      </c>
      <c r="R46" s="35">
        <v>0</v>
      </c>
      <c r="S46" s="35">
        <v>0</v>
      </c>
      <c r="T46" s="36">
        <v>0</v>
      </c>
      <c r="U46" s="35">
        <v>0</v>
      </c>
      <c r="V46" s="36">
        <v>0</v>
      </c>
      <c r="W46" s="36">
        <v>0</v>
      </c>
      <c r="X46" s="29">
        <v>5</v>
      </c>
      <c r="Y46" s="36">
        <v>0</v>
      </c>
      <c r="Z46" s="35">
        <v>0</v>
      </c>
      <c r="AA46" s="36">
        <v>0</v>
      </c>
      <c r="AB46" s="36">
        <v>0</v>
      </c>
      <c r="AC46" s="35">
        <v>0</v>
      </c>
    </row>
    <row r="47" spans="1:29" x14ac:dyDescent="0.3">
      <c r="A47" s="21" t="s">
        <v>151</v>
      </c>
      <c r="B47" s="35">
        <v>0</v>
      </c>
      <c r="C47" s="34">
        <v>1</v>
      </c>
      <c r="D47" s="29">
        <v>1</v>
      </c>
      <c r="E47" s="34">
        <v>7</v>
      </c>
      <c r="F47" s="36">
        <v>0</v>
      </c>
      <c r="G47" s="29">
        <v>1</v>
      </c>
      <c r="H47" s="36">
        <v>0</v>
      </c>
      <c r="I47" s="35">
        <v>0</v>
      </c>
      <c r="J47" s="34">
        <v>109</v>
      </c>
      <c r="K47" s="34">
        <v>42</v>
      </c>
      <c r="L47" s="35">
        <v>0</v>
      </c>
      <c r="M47" s="36">
        <v>0</v>
      </c>
      <c r="N47" s="29">
        <v>4</v>
      </c>
      <c r="O47" s="35">
        <v>0</v>
      </c>
      <c r="P47" s="35">
        <v>0</v>
      </c>
      <c r="Q47" s="34">
        <v>3</v>
      </c>
      <c r="R47" s="29">
        <v>5</v>
      </c>
      <c r="S47" s="35">
        <v>0</v>
      </c>
      <c r="T47" s="36">
        <v>0</v>
      </c>
      <c r="U47" s="35">
        <v>0</v>
      </c>
      <c r="V47" s="36">
        <v>0</v>
      </c>
      <c r="W47" s="36">
        <v>0</v>
      </c>
      <c r="X47" s="29">
        <v>7</v>
      </c>
      <c r="Y47" s="36">
        <v>0</v>
      </c>
      <c r="Z47" s="35">
        <v>0</v>
      </c>
      <c r="AA47" s="36">
        <v>0</v>
      </c>
      <c r="AB47" s="36">
        <v>0</v>
      </c>
      <c r="AC47" s="35">
        <v>0</v>
      </c>
    </row>
    <row r="48" spans="1:29" x14ac:dyDescent="0.3">
      <c r="A48" s="27" t="s">
        <v>152</v>
      </c>
      <c r="B48" s="35">
        <v>0</v>
      </c>
      <c r="C48" s="36">
        <v>0</v>
      </c>
      <c r="D48" s="35">
        <v>0</v>
      </c>
      <c r="E48" s="36">
        <v>0</v>
      </c>
      <c r="F48" s="36">
        <v>0</v>
      </c>
      <c r="G48" s="35">
        <v>0</v>
      </c>
      <c r="H48" s="36">
        <v>0</v>
      </c>
      <c r="I48" s="35">
        <v>0</v>
      </c>
      <c r="J48" s="36">
        <v>0</v>
      </c>
      <c r="K48" s="36">
        <v>0</v>
      </c>
      <c r="L48" s="35">
        <v>0</v>
      </c>
      <c r="M48" s="36">
        <v>0</v>
      </c>
      <c r="N48" s="35">
        <v>0</v>
      </c>
      <c r="O48" s="35">
        <v>0</v>
      </c>
      <c r="P48" s="35">
        <v>0</v>
      </c>
      <c r="Q48" s="36">
        <v>0</v>
      </c>
      <c r="R48" s="35">
        <v>0</v>
      </c>
      <c r="S48" s="35">
        <v>0</v>
      </c>
      <c r="T48" s="36">
        <v>0</v>
      </c>
      <c r="U48" s="35">
        <v>0</v>
      </c>
      <c r="V48" s="36">
        <v>0</v>
      </c>
      <c r="W48" s="36">
        <v>0</v>
      </c>
      <c r="X48" s="29">
        <v>85</v>
      </c>
      <c r="Y48" s="36">
        <v>0</v>
      </c>
      <c r="Z48" s="35">
        <v>0</v>
      </c>
      <c r="AA48" s="36">
        <v>0</v>
      </c>
      <c r="AB48" s="36">
        <v>0</v>
      </c>
      <c r="AC48" s="29">
        <v>2</v>
      </c>
    </row>
    <row r="49" spans="1:29" x14ac:dyDescent="0.3">
      <c r="A49" s="27" t="s">
        <v>153</v>
      </c>
      <c r="B49" s="35">
        <v>0</v>
      </c>
      <c r="C49" s="36">
        <v>0</v>
      </c>
      <c r="D49" s="35">
        <v>0</v>
      </c>
      <c r="E49" s="36">
        <v>0</v>
      </c>
      <c r="F49" s="36">
        <v>0</v>
      </c>
      <c r="G49" s="35">
        <v>0</v>
      </c>
      <c r="H49" s="36">
        <v>0</v>
      </c>
      <c r="I49" s="35">
        <v>0</v>
      </c>
      <c r="J49" s="36">
        <v>0</v>
      </c>
      <c r="K49" s="36">
        <v>0</v>
      </c>
      <c r="L49" s="35">
        <v>0</v>
      </c>
      <c r="M49" s="36">
        <v>0</v>
      </c>
      <c r="N49" s="35">
        <v>0</v>
      </c>
      <c r="O49" s="35">
        <v>0</v>
      </c>
      <c r="P49" s="35">
        <v>0</v>
      </c>
      <c r="Q49" s="36">
        <v>0</v>
      </c>
      <c r="R49" s="35">
        <v>0</v>
      </c>
      <c r="S49" s="35">
        <v>0</v>
      </c>
      <c r="T49" s="36">
        <v>0</v>
      </c>
      <c r="U49" s="35">
        <v>0</v>
      </c>
      <c r="V49" s="36">
        <v>0</v>
      </c>
      <c r="W49" s="36">
        <v>0</v>
      </c>
      <c r="X49" s="29">
        <v>17</v>
      </c>
      <c r="Y49" s="36">
        <v>0</v>
      </c>
      <c r="Z49" s="35">
        <v>0</v>
      </c>
      <c r="AA49" s="36">
        <v>0</v>
      </c>
      <c r="AB49" s="36">
        <v>0</v>
      </c>
      <c r="AC49" s="35">
        <v>0</v>
      </c>
    </row>
    <row r="50" spans="1:29" x14ac:dyDescent="0.3">
      <c r="A50" s="27" t="s">
        <v>154</v>
      </c>
      <c r="B50" s="35">
        <v>0</v>
      </c>
      <c r="C50" s="36">
        <v>0</v>
      </c>
      <c r="D50" s="35">
        <v>0</v>
      </c>
      <c r="E50" s="36">
        <v>0</v>
      </c>
      <c r="F50" s="36">
        <v>0</v>
      </c>
      <c r="G50" s="35">
        <v>0</v>
      </c>
      <c r="H50" s="36">
        <v>0</v>
      </c>
      <c r="I50" s="35">
        <v>0</v>
      </c>
      <c r="J50" s="36">
        <v>0</v>
      </c>
      <c r="K50" s="36">
        <v>0</v>
      </c>
      <c r="L50" s="35">
        <v>0</v>
      </c>
      <c r="M50" s="36">
        <v>0</v>
      </c>
      <c r="N50" s="35">
        <v>0</v>
      </c>
      <c r="O50" s="35">
        <v>0</v>
      </c>
      <c r="P50" s="35">
        <v>0</v>
      </c>
      <c r="Q50" s="36">
        <v>0</v>
      </c>
      <c r="R50" s="35">
        <v>0</v>
      </c>
      <c r="S50" s="35">
        <v>0</v>
      </c>
      <c r="T50" s="36">
        <v>0</v>
      </c>
      <c r="U50" s="35">
        <v>0</v>
      </c>
      <c r="V50" s="36">
        <v>0</v>
      </c>
      <c r="W50" s="36">
        <v>0</v>
      </c>
      <c r="X50" s="35">
        <v>0</v>
      </c>
      <c r="Y50" s="36">
        <v>0</v>
      </c>
      <c r="Z50" s="35">
        <v>0</v>
      </c>
      <c r="AA50" s="36">
        <v>0</v>
      </c>
      <c r="AB50" s="36">
        <v>0</v>
      </c>
      <c r="AC50" s="35">
        <v>0</v>
      </c>
    </row>
    <row r="51" spans="1:29" x14ac:dyDescent="0.3">
      <c r="A51" s="27" t="s">
        <v>155</v>
      </c>
      <c r="B51" s="35">
        <v>0</v>
      </c>
      <c r="C51" s="36">
        <v>0</v>
      </c>
      <c r="D51" s="35">
        <v>0</v>
      </c>
      <c r="E51" s="36">
        <v>0</v>
      </c>
      <c r="F51" s="36">
        <v>0</v>
      </c>
      <c r="G51" s="35">
        <v>0</v>
      </c>
      <c r="H51" s="36">
        <v>0</v>
      </c>
      <c r="I51" s="35">
        <v>0</v>
      </c>
      <c r="J51" s="36">
        <v>0</v>
      </c>
      <c r="K51" s="36">
        <v>0</v>
      </c>
      <c r="L51" s="35">
        <v>0</v>
      </c>
      <c r="M51" s="36">
        <v>0</v>
      </c>
      <c r="N51" s="35">
        <v>0</v>
      </c>
      <c r="O51" s="35">
        <v>0</v>
      </c>
      <c r="P51" s="35">
        <v>0</v>
      </c>
      <c r="Q51" s="36">
        <v>0</v>
      </c>
      <c r="R51" s="35">
        <v>0</v>
      </c>
      <c r="S51" s="29">
        <v>1</v>
      </c>
      <c r="T51" s="36">
        <v>0</v>
      </c>
      <c r="U51" s="35">
        <v>0</v>
      </c>
      <c r="V51" s="34">
        <v>1</v>
      </c>
      <c r="W51" s="34">
        <v>3</v>
      </c>
      <c r="X51" s="35">
        <v>0</v>
      </c>
      <c r="Y51" s="36">
        <v>0</v>
      </c>
      <c r="Z51" s="29">
        <v>6</v>
      </c>
      <c r="AA51" s="34">
        <v>6</v>
      </c>
      <c r="AB51" s="36">
        <v>0</v>
      </c>
      <c r="AC51" s="35">
        <v>0</v>
      </c>
    </row>
    <row r="52" spans="1:29" x14ac:dyDescent="0.3">
      <c r="A52" s="27" t="s">
        <v>156</v>
      </c>
      <c r="B52" s="35">
        <v>0</v>
      </c>
      <c r="C52" s="36">
        <v>0</v>
      </c>
      <c r="D52" s="35">
        <v>0</v>
      </c>
      <c r="E52" s="36">
        <v>0</v>
      </c>
      <c r="F52" s="36">
        <v>0</v>
      </c>
      <c r="G52" s="35">
        <v>0</v>
      </c>
      <c r="H52" s="36">
        <v>0</v>
      </c>
      <c r="I52" s="35">
        <v>0</v>
      </c>
      <c r="J52" s="36">
        <v>0</v>
      </c>
      <c r="K52" s="36">
        <v>0</v>
      </c>
      <c r="L52" s="35">
        <v>0</v>
      </c>
      <c r="M52" s="36">
        <v>0</v>
      </c>
      <c r="N52" s="35">
        <v>0</v>
      </c>
      <c r="O52" s="35">
        <v>0</v>
      </c>
      <c r="P52" s="35">
        <v>0</v>
      </c>
      <c r="Q52" s="36">
        <v>0</v>
      </c>
      <c r="R52" s="35">
        <v>0</v>
      </c>
      <c r="S52" s="35">
        <v>0</v>
      </c>
      <c r="T52" s="36">
        <v>0</v>
      </c>
      <c r="U52" s="35">
        <v>0</v>
      </c>
      <c r="V52" s="36">
        <v>0</v>
      </c>
      <c r="W52" s="36">
        <v>0</v>
      </c>
      <c r="X52" s="35">
        <v>0</v>
      </c>
      <c r="Y52" s="36">
        <v>0</v>
      </c>
      <c r="Z52" s="35">
        <v>0</v>
      </c>
      <c r="AA52" s="36">
        <v>0</v>
      </c>
      <c r="AB52" s="36">
        <v>0</v>
      </c>
      <c r="AC52" s="35">
        <v>0</v>
      </c>
    </row>
    <row r="53" spans="1:29" x14ac:dyDescent="0.3">
      <c r="A53" s="27" t="s">
        <v>157</v>
      </c>
      <c r="B53" s="35">
        <v>0</v>
      </c>
      <c r="C53" s="36">
        <v>0</v>
      </c>
      <c r="D53" s="35">
        <v>0</v>
      </c>
      <c r="E53" s="36">
        <v>0</v>
      </c>
      <c r="F53" s="36">
        <v>0</v>
      </c>
      <c r="G53" s="35">
        <v>0</v>
      </c>
      <c r="H53" s="36">
        <v>0</v>
      </c>
      <c r="I53" s="35">
        <v>0</v>
      </c>
      <c r="J53" s="36">
        <v>0</v>
      </c>
      <c r="K53" s="36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6">
        <v>0</v>
      </c>
      <c r="R53" s="35">
        <v>0</v>
      </c>
      <c r="S53" s="35">
        <v>0</v>
      </c>
      <c r="T53" s="34">
        <v>1</v>
      </c>
      <c r="U53" s="29">
        <v>1</v>
      </c>
      <c r="V53" s="36">
        <v>0</v>
      </c>
      <c r="W53" s="36">
        <v>0</v>
      </c>
      <c r="X53" s="35">
        <v>0</v>
      </c>
      <c r="Y53" s="34">
        <v>5</v>
      </c>
      <c r="Z53" s="35">
        <v>0</v>
      </c>
      <c r="AA53" s="36">
        <v>0</v>
      </c>
      <c r="AB53" s="36">
        <v>0</v>
      </c>
      <c r="AC53" s="35">
        <v>0</v>
      </c>
    </row>
    <row r="54" spans="1:29" x14ac:dyDescent="0.3">
      <c r="A54" s="27" t="s">
        <v>158</v>
      </c>
      <c r="B54" s="29">
        <v>5</v>
      </c>
      <c r="C54" s="34">
        <v>1</v>
      </c>
      <c r="D54" s="35">
        <v>0</v>
      </c>
      <c r="E54" s="36">
        <v>0</v>
      </c>
      <c r="F54" s="34">
        <v>33</v>
      </c>
      <c r="G54" s="29">
        <v>63</v>
      </c>
      <c r="H54" s="34">
        <v>11</v>
      </c>
      <c r="I54" s="35">
        <v>0</v>
      </c>
      <c r="J54" s="36">
        <v>0</v>
      </c>
      <c r="K54" s="34">
        <v>47</v>
      </c>
      <c r="L54" s="29">
        <v>1</v>
      </c>
      <c r="M54" s="36">
        <v>0</v>
      </c>
      <c r="N54" s="35">
        <v>0</v>
      </c>
      <c r="O54" s="35">
        <v>0</v>
      </c>
      <c r="P54" s="29">
        <v>94</v>
      </c>
      <c r="Q54" s="36">
        <v>0</v>
      </c>
      <c r="R54" s="29">
        <v>29</v>
      </c>
      <c r="S54" s="35">
        <v>0</v>
      </c>
      <c r="T54" s="36">
        <v>0</v>
      </c>
      <c r="U54" s="35">
        <v>0</v>
      </c>
      <c r="V54" s="36">
        <v>0</v>
      </c>
      <c r="W54" s="36">
        <v>0</v>
      </c>
      <c r="X54" s="35">
        <v>0</v>
      </c>
      <c r="Y54" s="36">
        <v>0</v>
      </c>
      <c r="Z54" s="35">
        <v>0</v>
      </c>
      <c r="AA54" s="36">
        <v>0</v>
      </c>
      <c r="AB54" s="36">
        <v>0</v>
      </c>
      <c r="AC54" s="35">
        <v>0</v>
      </c>
    </row>
    <row r="55" spans="1:29" x14ac:dyDescent="0.3">
      <c r="A55" s="27" t="s">
        <v>159</v>
      </c>
      <c r="B55" s="35">
        <v>0</v>
      </c>
      <c r="C55" s="36">
        <v>0</v>
      </c>
      <c r="D55" s="35">
        <v>0</v>
      </c>
      <c r="E55" s="36">
        <v>0</v>
      </c>
      <c r="F55" s="36">
        <v>0</v>
      </c>
      <c r="G55" s="35">
        <v>0</v>
      </c>
      <c r="H55" s="36">
        <v>0</v>
      </c>
      <c r="I55" s="35">
        <v>0</v>
      </c>
      <c r="J55" s="36">
        <v>0</v>
      </c>
      <c r="K55" s="36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6">
        <v>0</v>
      </c>
      <c r="R55" s="35">
        <v>0</v>
      </c>
      <c r="S55" s="29">
        <v>7</v>
      </c>
      <c r="T55" s="34">
        <v>4</v>
      </c>
      <c r="U55" s="35">
        <v>0</v>
      </c>
      <c r="V55" s="34">
        <v>57</v>
      </c>
      <c r="W55" s="34">
        <v>8</v>
      </c>
      <c r="X55" s="35">
        <v>0</v>
      </c>
      <c r="Y55" s="36">
        <v>0</v>
      </c>
      <c r="Z55" s="35">
        <v>0</v>
      </c>
      <c r="AA55" s="34">
        <v>6</v>
      </c>
      <c r="AB55" s="34">
        <v>61</v>
      </c>
      <c r="AC55" s="35">
        <v>0</v>
      </c>
    </row>
    <row r="56" spans="1:29" x14ac:dyDescent="0.3">
      <c r="A56" s="27" t="s">
        <v>160</v>
      </c>
      <c r="B56" s="35">
        <v>0</v>
      </c>
      <c r="C56" s="36">
        <v>0</v>
      </c>
      <c r="D56" s="35">
        <v>0</v>
      </c>
      <c r="E56" s="34">
        <v>12</v>
      </c>
      <c r="F56" s="34">
        <v>7</v>
      </c>
      <c r="G56" s="29">
        <v>20</v>
      </c>
      <c r="H56" s="34">
        <v>4</v>
      </c>
      <c r="I56" s="29">
        <v>3</v>
      </c>
      <c r="J56" s="34">
        <v>28</v>
      </c>
      <c r="K56" s="34">
        <v>62</v>
      </c>
      <c r="L56" s="29">
        <v>3</v>
      </c>
      <c r="M56" s="36">
        <v>0</v>
      </c>
      <c r="N56" s="35">
        <v>0</v>
      </c>
      <c r="O56" s="29">
        <v>1</v>
      </c>
      <c r="P56" s="29">
        <v>32</v>
      </c>
      <c r="Q56" s="36">
        <v>0</v>
      </c>
      <c r="R56" s="29">
        <v>25</v>
      </c>
      <c r="S56" s="35">
        <v>0</v>
      </c>
      <c r="T56" s="36">
        <v>0</v>
      </c>
      <c r="U56" s="29">
        <v>73</v>
      </c>
      <c r="V56" s="36">
        <v>0</v>
      </c>
      <c r="W56" s="36">
        <v>0</v>
      </c>
      <c r="X56" s="35">
        <v>0</v>
      </c>
      <c r="Y56" s="36">
        <v>0</v>
      </c>
      <c r="Z56" s="29">
        <v>13</v>
      </c>
      <c r="AA56" s="36">
        <v>0</v>
      </c>
      <c r="AB56" s="36">
        <v>0</v>
      </c>
      <c r="AC56" s="29">
        <v>53</v>
      </c>
    </row>
    <row r="57" spans="1:29" x14ac:dyDescent="0.3">
      <c r="A57" s="27" t="s">
        <v>161</v>
      </c>
      <c r="B57" s="35">
        <v>0</v>
      </c>
      <c r="C57" s="36">
        <v>0</v>
      </c>
      <c r="D57" s="35">
        <v>0</v>
      </c>
      <c r="E57" s="36">
        <v>0</v>
      </c>
      <c r="F57" s="36">
        <v>0</v>
      </c>
      <c r="G57" s="35">
        <v>0</v>
      </c>
      <c r="H57" s="36">
        <v>0</v>
      </c>
      <c r="I57" s="35">
        <v>0</v>
      </c>
      <c r="J57" s="36">
        <v>0</v>
      </c>
      <c r="K57" s="36">
        <v>0</v>
      </c>
      <c r="L57" s="35">
        <v>0</v>
      </c>
      <c r="M57" s="36">
        <v>0</v>
      </c>
      <c r="N57" s="35">
        <v>0</v>
      </c>
      <c r="O57" s="35">
        <v>0</v>
      </c>
      <c r="P57" s="35">
        <v>0</v>
      </c>
      <c r="Q57" s="36">
        <v>0</v>
      </c>
      <c r="R57" s="35">
        <v>0</v>
      </c>
      <c r="S57" s="35">
        <v>0</v>
      </c>
      <c r="T57" s="36">
        <v>0</v>
      </c>
      <c r="U57" s="35">
        <v>0</v>
      </c>
      <c r="V57" s="36">
        <v>0</v>
      </c>
      <c r="W57" s="36">
        <v>0</v>
      </c>
      <c r="X57" s="35">
        <v>0</v>
      </c>
      <c r="Y57" s="34">
        <v>1</v>
      </c>
      <c r="Z57" s="35">
        <v>0</v>
      </c>
      <c r="AA57" s="36">
        <v>0</v>
      </c>
      <c r="AB57" s="36">
        <v>0</v>
      </c>
      <c r="AC57" s="35">
        <v>0</v>
      </c>
    </row>
    <row r="58" spans="1:29" x14ac:dyDescent="0.3">
      <c r="A58" s="27" t="s">
        <v>162</v>
      </c>
      <c r="B58" s="35">
        <v>0</v>
      </c>
      <c r="C58" s="36">
        <v>0</v>
      </c>
      <c r="D58" s="35">
        <v>0</v>
      </c>
      <c r="E58" s="36">
        <v>0</v>
      </c>
      <c r="F58" s="36">
        <v>0</v>
      </c>
      <c r="G58" s="35">
        <v>0</v>
      </c>
      <c r="H58" s="34">
        <v>1</v>
      </c>
      <c r="I58" s="35">
        <v>0</v>
      </c>
      <c r="J58" s="36">
        <v>0</v>
      </c>
      <c r="K58" s="36">
        <v>0</v>
      </c>
      <c r="L58" s="35">
        <v>0</v>
      </c>
      <c r="M58" s="36">
        <v>0</v>
      </c>
      <c r="N58" s="35">
        <v>0</v>
      </c>
      <c r="O58" s="35">
        <v>0</v>
      </c>
      <c r="P58" s="35">
        <v>0</v>
      </c>
      <c r="Q58" s="36">
        <v>0</v>
      </c>
      <c r="R58" s="35">
        <v>0</v>
      </c>
      <c r="S58" s="35">
        <v>0</v>
      </c>
      <c r="T58" s="36">
        <v>0</v>
      </c>
      <c r="U58" s="35">
        <v>0</v>
      </c>
      <c r="V58" s="36">
        <v>0</v>
      </c>
      <c r="W58" s="36">
        <v>0</v>
      </c>
      <c r="X58" s="35">
        <v>0</v>
      </c>
      <c r="Y58" s="36">
        <v>0</v>
      </c>
      <c r="Z58" s="35">
        <v>0</v>
      </c>
      <c r="AA58" s="36">
        <v>0</v>
      </c>
      <c r="AB58" s="36">
        <v>0</v>
      </c>
      <c r="AC58" s="35">
        <v>0</v>
      </c>
    </row>
    <row r="59" spans="1:29" x14ac:dyDescent="0.3">
      <c r="A59" s="27" t="s">
        <v>163</v>
      </c>
      <c r="B59" s="35">
        <v>0</v>
      </c>
      <c r="C59" s="36">
        <v>0</v>
      </c>
      <c r="D59" s="35">
        <v>0</v>
      </c>
      <c r="E59" s="36">
        <v>0</v>
      </c>
      <c r="F59" s="36">
        <v>0</v>
      </c>
      <c r="G59" s="35">
        <v>0</v>
      </c>
      <c r="H59" s="36">
        <v>0</v>
      </c>
      <c r="I59" s="35">
        <v>0</v>
      </c>
      <c r="J59" s="36">
        <v>0</v>
      </c>
      <c r="K59" s="36">
        <v>0</v>
      </c>
      <c r="L59" s="35">
        <v>0</v>
      </c>
      <c r="M59" s="36">
        <v>0</v>
      </c>
      <c r="N59" s="35">
        <v>0</v>
      </c>
      <c r="O59" s="35">
        <v>0</v>
      </c>
      <c r="P59" s="35">
        <v>0</v>
      </c>
      <c r="Q59" s="36">
        <v>0</v>
      </c>
      <c r="R59" s="35">
        <v>0</v>
      </c>
      <c r="S59" s="35">
        <v>0</v>
      </c>
      <c r="T59" s="36">
        <v>0</v>
      </c>
      <c r="U59" s="35">
        <v>0</v>
      </c>
      <c r="V59" s="36">
        <v>0</v>
      </c>
      <c r="W59" s="36">
        <v>0</v>
      </c>
      <c r="X59" s="35">
        <v>0</v>
      </c>
      <c r="Y59" s="36">
        <v>0</v>
      </c>
      <c r="Z59" s="35">
        <v>0</v>
      </c>
      <c r="AA59" s="36">
        <v>0</v>
      </c>
      <c r="AB59" s="36">
        <v>0</v>
      </c>
      <c r="AC59" s="35">
        <v>0</v>
      </c>
    </row>
    <row r="60" spans="1:29" x14ac:dyDescent="0.3">
      <c r="A60" s="21" t="s">
        <v>164</v>
      </c>
      <c r="B60" s="35">
        <v>0</v>
      </c>
      <c r="C60" s="36">
        <v>0</v>
      </c>
      <c r="D60" s="35">
        <v>0</v>
      </c>
      <c r="E60" s="36">
        <v>0</v>
      </c>
      <c r="F60" s="36">
        <v>0</v>
      </c>
      <c r="G60" s="35">
        <v>0</v>
      </c>
      <c r="H60" s="36">
        <v>0</v>
      </c>
      <c r="I60" s="35">
        <v>0</v>
      </c>
      <c r="J60" s="36">
        <v>0</v>
      </c>
      <c r="K60" s="36">
        <v>0</v>
      </c>
      <c r="L60" s="35">
        <v>0</v>
      </c>
      <c r="M60" s="36">
        <v>0</v>
      </c>
      <c r="N60" s="35">
        <v>0</v>
      </c>
      <c r="O60" s="35">
        <v>0</v>
      </c>
      <c r="P60" s="35">
        <v>0</v>
      </c>
      <c r="Q60" s="36">
        <v>0</v>
      </c>
      <c r="R60" s="35">
        <v>0</v>
      </c>
      <c r="S60" s="35">
        <v>0</v>
      </c>
      <c r="T60" s="36">
        <v>0</v>
      </c>
      <c r="U60" s="35">
        <v>0</v>
      </c>
      <c r="V60" s="36">
        <v>0</v>
      </c>
      <c r="W60" s="36">
        <v>0</v>
      </c>
      <c r="X60" s="35">
        <v>0</v>
      </c>
      <c r="Y60" s="36">
        <v>0</v>
      </c>
      <c r="Z60" s="35">
        <v>0</v>
      </c>
      <c r="AA60" s="36">
        <v>0</v>
      </c>
      <c r="AB60" s="36">
        <v>0</v>
      </c>
      <c r="AC60" s="35">
        <v>0</v>
      </c>
    </row>
    <row r="61" spans="1:29" x14ac:dyDescent="0.3">
      <c r="A61" s="27" t="s">
        <v>165</v>
      </c>
      <c r="B61" s="35">
        <v>0</v>
      </c>
      <c r="C61" s="36">
        <v>0</v>
      </c>
      <c r="D61" s="35">
        <v>0</v>
      </c>
      <c r="E61" s="36">
        <v>0</v>
      </c>
      <c r="F61" s="36">
        <v>0</v>
      </c>
      <c r="G61" s="35">
        <v>0</v>
      </c>
      <c r="H61" s="36">
        <v>0</v>
      </c>
      <c r="I61" s="35">
        <v>0</v>
      </c>
      <c r="J61" s="36">
        <v>0</v>
      </c>
      <c r="K61" s="36">
        <v>0</v>
      </c>
      <c r="L61" s="35">
        <v>0</v>
      </c>
      <c r="M61" s="36">
        <v>0</v>
      </c>
      <c r="N61" s="35">
        <v>0</v>
      </c>
      <c r="O61" s="35">
        <v>0</v>
      </c>
      <c r="P61" s="35">
        <v>0</v>
      </c>
      <c r="Q61" s="36">
        <v>0</v>
      </c>
      <c r="R61" s="35">
        <v>0</v>
      </c>
      <c r="S61" s="35">
        <v>0</v>
      </c>
      <c r="T61" s="36">
        <v>0</v>
      </c>
      <c r="U61" s="35">
        <v>0</v>
      </c>
      <c r="V61" s="36">
        <v>0</v>
      </c>
      <c r="W61" s="36">
        <v>0</v>
      </c>
      <c r="X61" s="35">
        <v>0</v>
      </c>
      <c r="Y61" s="36">
        <v>0</v>
      </c>
      <c r="Z61" s="35">
        <v>0</v>
      </c>
      <c r="AA61" s="36">
        <v>0</v>
      </c>
      <c r="AB61" s="36">
        <v>0</v>
      </c>
      <c r="AC61" s="35">
        <v>0</v>
      </c>
    </row>
    <row r="62" spans="1:29" x14ac:dyDescent="0.3">
      <c r="A62" s="27" t="s">
        <v>166</v>
      </c>
      <c r="B62" s="35">
        <v>0</v>
      </c>
      <c r="C62" s="36">
        <v>0</v>
      </c>
      <c r="D62" s="35">
        <v>0</v>
      </c>
      <c r="E62" s="36">
        <v>0</v>
      </c>
      <c r="F62" s="36">
        <v>0</v>
      </c>
      <c r="G62" s="35">
        <v>0</v>
      </c>
      <c r="H62" s="36">
        <v>0</v>
      </c>
      <c r="I62" s="35">
        <v>0</v>
      </c>
      <c r="J62" s="36">
        <v>0</v>
      </c>
      <c r="K62" s="36">
        <v>0</v>
      </c>
      <c r="L62" s="35">
        <v>0</v>
      </c>
      <c r="M62" s="36">
        <v>0</v>
      </c>
      <c r="N62" s="35">
        <v>0</v>
      </c>
      <c r="O62" s="35">
        <v>0</v>
      </c>
      <c r="P62" s="35">
        <v>0</v>
      </c>
      <c r="Q62" s="36">
        <v>0</v>
      </c>
      <c r="R62" s="35">
        <v>0</v>
      </c>
      <c r="S62" s="35">
        <v>0</v>
      </c>
      <c r="T62" s="36">
        <v>0</v>
      </c>
      <c r="U62" s="35">
        <v>0</v>
      </c>
      <c r="V62" s="36">
        <v>0</v>
      </c>
      <c r="W62" s="36">
        <v>0</v>
      </c>
      <c r="X62" s="35">
        <v>0</v>
      </c>
      <c r="Y62" s="36">
        <v>0</v>
      </c>
      <c r="Z62" s="35">
        <v>0</v>
      </c>
      <c r="AA62" s="36">
        <v>0</v>
      </c>
      <c r="AB62" s="36">
        <v>0</v>
      </c>
      <c r="AC62" s="35">
        <v>0</v>
      </c>
    </row>
    <row r="63" spans="1:29" x14ac:dyDescent="0.3">
      <c r="A63" s="21" t="s">
        <v>167</v>
      </c>
      <c r="B63" s="29">
        <v>8</v>
      </c>
      <c r="C63" s="34">
        <v>41</v>
      </c>
      <c r="D63" s="29">
        <v>14</v>
      </c>
      <c r="E63" s="34">
        <v>2</v>
      </c>
      <c r="F63" s="34">
        <v>1</v>
      </c>
      <c r="G63" s="29">
        <v>6</v>
      </c>
      <c r="H63" s="34">
        <v>4</v>
      </c>
      <c r="I63" s="35">
        <v>0</v>
      </c>
      <c r="J63" s="36">
        <v>0</v>
      </c>
      <c r="K63" s="36">
        <v>0</v>
      </c>
      <c r="L63" s="29">
        <v>43</v>
      </c>
      <c r="M63" s="34">
        <v>7</v>
      </c>
      <c r="N63" s="29">
        <v>18</v>
      </c>
      <c r="O63" s="29">
        <v>11</v>
      </c>
      <c r="P63" s="29">
        <v>1</v>
      </c>
      <c r="Q63" s="36">
        <v>0</v>
      </c>
      <c r="R63" s="29">
        <v>6</v>
      </c>
      <c r="S63" s="35">
        <v>0</v>
      </c>
      <c r="T63" s="34">
        <v>8</v>
      </c>
      <c r="U63" s="35">
        <v>0</v>
      </c>
      <c r="V63" s="36">
        <v>0</v>
      </c>
      <c r="W63" s="36">
        <v>0</v>
      </c>
      <c r="X63" s="29">
        <v>4</v>
      </c>
      <c r="Y63" s="36">
        <v>0</v>
      </c>
      <c r="Z63" s="35">
        <v>0</v>
      </c>
      <c r="AA63" s="34">
        <v>3</v>
      </c>
      <c r="AB63" s="36">
        <v>0</v>
      </c>
      <c r="AC63" s="29">
        <v>10</v>
      </c>
    </row>
    <row r="64" spans="1:29" x14ac:dyDescent="0.3">
      <c r="A64" s="27" t="s">
        <v>168</v>
      </c>
      <c r="B64" s="35">
        <v>0</v>
      </c>
      <c r="C64" s="36">
        <v>0</v>
      </c>
      <c r="D64" s="35">
        <v>0</v>
      </c>
      <c r="E64" s="36">
        <v>0</v>
      </c>
      <c r="F64" s="36">
        <v>0</v>
      </c>
      <c r="G64" s="35">
        <v>0</v>
      </c>
      <c r="H64" s="36">
        <v>0</v>
      </c>
      <c r="I64" s="35">
        <v>0</v>
      </c>
      <c r="J64" s="36">
        <v>0</v>
      </c>
      <c r="K64" s="36">
        <v>0</v>
      </c>
      <c r="L64" s="35">
        <v>0</v>
      </c>
      <c r="M64" s="36">
        <v>0</v>
      </c>
      <c r="N64" s="35">
        <v>0</v>
      </c>
      <c r="O64" s="35">
        <v>0</v>
      </c>
      <c r="P64" s="35">
        <v>0</v>
      </c>
      <c r="Q64" s="36">
        <v>0</v>
      </c>
      <c r="R64" s="35">
        <v>0</v>
      </c>
      <c r="S64" s="35">
        <v>0</v>
      </c>
      <c r="T64" s="36">
        <v>0</v>
      </c>
      <c r="U64" s="35">
        <v>0</v>
      </c>
      <c r="V64" s="36">
        <v>0</v>
      </c>
      <c r="W64" s="36">
        <v>0</v>
      </c>
      <c r="X64" s="29">
        <v>10</v>
      </c>
      <c r="Y64" s="36">
        <v>0</v>
      </c>
      <c r="Z64" s="35">
        <v>0</v>
      </c>
      <c r="AA64" s="36">
        <v>0</v>
      </c>
      <c r="AB64" s="36">
        <v>0</v>
      </c>
      <c r="AC64" s="35">
        <v>0</v>
      </c>
    </row>
    <row r="65" spans="1:29" x14ac:dyDescent="0.3">
      <c r="A65" s="27" t="s">
        <v>169</v>
      </c>
      <c r="B65" s="29">
        <v>6</v>
      </c>
      <c r="C65" s="36">
        <v>0</v>
      </c>
      <c r="D65" s="35">
        <v>0</v>
      </c>
      <c r="E65" s="36">
        <v>0</v>
      </c>
      <c r="F65" s="34">
        <v>4</v>
      </c>
      <c r="G65" s="35">
        <v>0</v>
      </c>
      <c r="H65" s="36">
        <v>0</v>
      </c>
      <c r="I65" s="35">
        <v>0</v>
      </c>
      <c r="J65" s="34">
        <v>1</v>
      </c>
      <c r="K65" s="36">
        <v>0</v>
      </c>
      <c r="L65" s="35">
        <v>0</v>
      </c>
      <c r="M65" s="36">
        <v>0</v>
      </c>
      <c r="N65" s="35">
        <v>0</v>
      </c>
      <c r="O65" s="35">
        <v>0</v>
      </c>
      <c r="P65" s="35">
        <v>0</v>
      </c>
      <c r="Q65" s="34">
        <v>1</v>
      </c>
      <c r="R65" s="29">
        <v>5</v>
      </c>
      <c r="S65" s="29">
        <v>5</v>
      </c>
      <c r="T65" s="36">
        <v>0</v>
      </c>
      <c r="U65" s="29">
        <v>14</v>
      </c>
      <c r="V65" s="34">
        <v>20</v>
      </c>
      <c r="W65" s="34">
        <v>9</v>
      </c>
      <c r="X65" s="35">
        <v>0</v>
      </c>
      <c r="Y65" s="34">
        <v>4</v>
      </c>
      <c r="Z65" s="29">
        <v>31</v>
      </c>
      <c r="AA65" s="36">
        <v>0</v>
      </c>
      <c r="AB65" s="34">
        <v>5</v>
      </c>
      <c r="AC65" s="29">
        <v>14</v>
      </c>
    </row>
    <row r="66" spans="1:29" x14ac:dyDescent="0.3">
      <c r="A66" s="27" t="s">
        <v>170</v>
      </c>
      <c r="B66" s="35">
        <v>0</v>
      </c>
      <c r="C66" s="36">
        <v>0</v>
      </c>
      <c r="D66" s="35">
        <v>0</v>
      </c>
      <c r="E66" s="36">
        <v>0</v>
      </c>
      <c r="F66" s="36">
        <v>0</v>
      </c>
      <c r="G66" s="35">
        <v>0</v>
      </c>
      <c r="H66" s="36">
        <v>0</v>
      </c>
      <c r="I66" s="35">
        <v>0</v>
      </c>
      <c r="J66" s="36">
        <v>0</v>
      </c>
      <c r="K66" s="36">
        <v>0</v>
      </c>
      <c r="L66" s="35">
        <v>0</v>
      </c>
      <c r="M66" s="36">
        <v>0</v>
      </c>
      <c r="N66" s="35">
        <v>0</v>
      </c>
      <c r="O66" s="35">
        <v>0</v>
      </c>
      <c r="P66" s="35">
        <v>0</v>
      </c>
      <c r="Q66" s="36">
        <v>0</v>
      </c>
      <c r="R66" s="35">
        <v>0</v>
      </c>
      <c r="S66" s="35">
        <v>0</v>
      </c>
      <c r="T66" s="36">
        <v>0</v>
      </c>
      <c r="U66" s="35">
        <v>0</v>
      </c>
      <c r="V66" s="36">
        <v>0</v>
      </c>
      <c r="W66" s="36">
        <v>0</v>
      </c>
      <c r="X66" s="35">
        <v>0</v>
      </c>
      <c r="Y66" s="36">
        <v>0</v>
      </c>
      <c r="Z66" s="35">
        <v>0</v>
      </c>
      <c r="AA66" s="36">
        <v>0</v>
      </c>
      <c r="AB66" s="36">
        <v>0</v>
      </c>
      <c r="AC66" s="35">
        <v>0</v>
      </c>
    </row>
    <row r="67" spans="1:29" x14ac:dyDescent="0.3">
      <c r="A67" s="27" t="s">
        <v>171</v>
      </c>
      <c r="B67" s="35">
        <v>0</v>
      </c>
      <c r="C67" s="36">
        <v>0</v>
      </c>
      <c r="D67" s="35">
        <v>0</v>
      </c>
      <c r="E67" s="36">
        <v>0</v>
      </c>
      <c r="F67" s="34">
        <v>1</v>
      </c>
      <c r="G67" s="35">
        <v>0</v>
      </c>
      <c r="H67" s="36">
        <v>0</v>
      </c>
      <c r="I67" s="35">
        <v>0</v>
      </c>
      <c r="J67" s="36">
        <v>0</v>
      </c>
      <c r="K67" s="36">
        <v>0</v>
      </c>
      <c r="L67" s="35">
        <v>0</v>
      </c>
      <c r="M67" s="36">
        <v>0</v>
      </c>
      <c r="N67" s="29">
        <v>1</v>
      </c>
      <c r="O67" s="35">
        <v>0</v>
      </c>
      <c r="P67" s="29">
        <v>1</v>
      </c>
      <c r="Q67" s="36">
        <v>0</v>
      </c>
      <c r="R67" s="35">
        <v>0</v>
      </c>
      <c r="S67" s="35">
        <v>0</v>
      </c>
      <c r="T67" s="36">
        <v>0</v>
      </c>
      <c r="U67" s="35">
        <v>0</v>
      </c>
      <c r="V67" s="36">
        <v>0</v>
      </c>
      <c r="W67" s="34">
        <v>2</v>
      </c>
      <c r="X67" s="29">
        <v>1</v>
      </c>
      <c r="Y67" s="36">
        <v>0</v>
      </c>
      <c r="Z67" s="35">
        <v>0</v>
      </c>
      <c r="AA67" s="34">
        <v>1</v>
      </c>
      <c r="AB67" s="36">
        <v>0</v>
      </c>
      <c r="AC67" s="35">
        <v>0</v>
      </c>
    </row>
    <row r="68" spans="1:29" x14ac:dyDescent="0.3">
      <c r="A68" s="27" t="s">
        <v>172</v>
      </c>
      <c r="B68" s="29">
        <v>7</v>
      </c>
      <c r="C68" s="36">
        <v>0</v>
      </c>
      <c r="D68" s="35">
        <v>0</v>
      </c>
      <c r="E68" s="36">
        <v>0</v>
      </c>
      <c r="F68" s="34">
        <v>1</v>
      </c>
      <c r="G68" s="35">
        <v>0</v>
      </c>
      <c r="H68" s="36">
        <v>0</v>
      </c>
      <c r="I68" s="35">
        <v>0</v>
      </c>
      <c r="J68" s="36">
        <v>0</v>
      </c>
      <c r="K68" s="36">
        <v>0</v>
      </c>
      <c r="L68" s="35">
        <v>0</v>
      </c>
      <c r="M68" s="36">
        <v>0</v>
      </c>
      <c r="N68" s="35">
        <v>0</v>
      </c>
      <c r="O68" s="35">
        <v>0</v>
      </c>
      <c r="P68" s="35">
        <v>0</v>
      </c>
      <c r="Q68" s="36">
        <v>0</v>
      </c>
      <c r="R68" s="29">
        <v>1</v>
      </c>
      <c r="S68" s="29">
        <v>1</v>
      </c>
      <c r="T68" s="36">
        <v>0</v>
      </c>
      <c r="U68" s="29">
        <v>7</v>
      </c>
      <c r="V68" s="34">
        <v>5</v>
      </c>
      <c r="W68" s="34">
        <v>2</v>
      </c>
      <c r="X68" s="35">
        <v>0</v>
      </c>
      <c r="Y68" s="36">
        <v>0</v>
      </c>
      <c r="Z68" s="29">
        <v>3</v>
      </c>
      <c r="AA68" s="34">
        <v>1</v>
      </c>
      <c r="AB68" s="36">
        <v>0</v>
      </c>
      <c r="AC68" s="35">
        <v>0</v>
      </c>
    </row>
    <row r="69" spans="1:29" x14ac:dyDescent="0.3">
      <c r="A69" s="21" t="s">
        <v>173</v>
      </c>
      <c r="B69" s="35">
        <v>0</v>
      </c>
      <c r="C69" s="36">
        <v>0</v>
      </c>
      <c r="D69" s="35">
        <v>0</v>
      </c>
      <c r="E69" s="36">
        <v>0</v>
      </c>
      <c r="F69" s="36">
        <v>0</v>
      </c>
      <c r="G69" s="35">
        <v>0</v>
      </c>
      <c r="H69" s="36">
        <v>0</v>
      </c>
      <c r="I69" s="35">
        <v>0</v>
      </c>
      <c r="J69" s="36">
        <v>0</v>
      </c>
      <c r="K69" s="36">
        <v>0</v>
      </c>
      <c r="L69" s="35">
        <v>0</v>
      </c>
      <c r="M69" s="36">
        <v>0</v>
      </c>
      <c r="N69" s="35">
        <v>0</v>
      </c>
      <c r="O69" s="35">
        <v>0</v>
      </c>
      <c r="P69" s="35">
        <v>0</v>
      </c>
      <c r="Q69" s="36">
        <v>0</v>
      </c>
      <c r="R69" s="35">
        <v>0</v>
      </c>
      <c r="S69" s="35">
        <v>0</v>
      </c>
      <c r="T69" s="36">
        <v>0</v>
      </c>
      <c r="U69" s="35">
        <v>0</v>
      </c>
      <c r="V69" s="36">
        <v>0</v>
      </c>
      <c r="W69" s="36">
        <v>0</v>
      </c>
      <c r="X69" s="35">
        <v>0</v>
      </c>
      <c r="Y69" s="36">
        <v>0</v>
      </c>
      <c r="Z69" s="35">
        <v>0</v>
      </c>
      <c r="AA69" s="36">
        <v>0</v>
      </c>
      <c r="AB69" s="36">
        <v>0</v>
      </c>
      <c r="AC69" s="29">
        <v>1</v>
      </c>
    </row>
    <row r="70" spans="1:29" x14ac:dyDescent="0.3">
      <c r="A70" s="27" t="s">
        <v>174</v>
      </c>
      <c r="B70" s="29">
        <v>3</v>
      </c>
      <c r="C70" s="34">
        <v>8</v>
      </c>
      <c r="D70" s="29">
        <v>10</v>
      </c>
      <c r="E70" s="34">
        <v>9</v>
      </c>
      <c r="F70" s="34">
        <v>7</v>
      </c>
      <c r="G70" s="29">
        <v>4</v>
      </c>
      <c r="H70" s="34">
        <v>48</v>
      </c>
      <c r="I70" s="29">
        <v>11</v>
      </c>
      <c r="J70" s="34">
        <v>83</v>
      </c>
      <c r="K70" s="34">
        <v>4</v>
      </c>
      <c r="L70" s="29">
        <v>10</v>
      </c>
      <c r="M70" s="34">
        <v>32</v>
      </c>
      <c r="N70" s="29">
        <v>15</v>
      </c>
      <c r="O70" s="29">
        <v>9</v>
      </c>
      <c r="P70" s="35">
        <v>0</v>
      </c>
      <c r="Q70" s="34">
        <v>3</v>
      </c>
      <c r="R70" s="29">
        <v>12</v>
      </c>
      <c r="S70" s="35">
        <v>0</v>
      </c>
      <c r="T70" s="34">
        <v>44</v>
      </c>
      <c r="U70" s="29">
        <v>8</v>
      </c>
      <c r="V70" s="34">
        <v>2</v>
      </c>
      <c r="W70" s="36">
        <v>0</v>
      </c>
      <c r="X70" s="29">
        <v>1</v>
      </c>
      <c r="Y70" s="34">
        <v>11</v>
      </c>
      <c r="Z70" s="29">
        <v>8</v>
      </c>
      <c r="AA70" s="36">
        <v>0</v>
      </c>
      <c r="AB70" s="34">
        <v>1</v>
      </c>
      <c r="AC70" s="29">
        <v>26</v>
      </c>
    </row>
    <row r="71" spans="1:29" x14ac:dyDescent="0.3">
      <c r="A71" s="21" t="s">
        <v>175</v>
      </c>
      <c r="B71" s="35">
        <v>0</v>
      </c>
      <c r="C71" s="36">
        <v>0</v>
      </c>
      <c r="D71" s="35">
        <v>0</v>
      </c>
      <c r="E71" s="36">
        <v>0</v>
      </c>
      <c r="F71" s="34">
        <v>1</v>
      </c>
      <c r="G71" s="35">
        <v>0</v>
      </c>
      <c r="H71" s="36">
        <v>0</v>
      </c>
      <c r="I71" s="35">
        <v>0</v>
      </c>
      <c r="J71" s="36">
        <v>0</v>
      </c>
      <c r="K71" s="36">
        <v>0</v>
      </c>
      <c r="L71" s="35">
        <v>0</v>
      </c>
      <c r="M71" s="34">
        <v>1</v>
      </c>
      <c r="N71" s="29">
        <v>2</v>
      </c>
      <c r="O71" s="29">
        <v>1</v>
      </c>
      <c r="P71" s="35">
        <v>0</v>
      </c>
      <c r="Q71" s="36">
        <v>0</v>
      </c>
      <c r="R71" s="35">
        <v>0</v>
      </c>
      <c r="S71" s="35">
        <v>0</v>
      </c>
      <c r="T71" s="36">
        <v>0</v>
      </c>
      <c r="U71" s="35">
        <v>0</v>
      </c>
      <c r="V71" s="36">
        <v>0</v>
      </c>
      <c r="W71" s="36">
        <v>0</v>
      </c>
      <c r="X71" s="35">
        <v>0</v>
      </c>
      <c r="Y71" s="36">
        <v>0</v>
      </c>
      <c r="Z71" s="35">
        <v>0</v>
      </c>
      <c r="AA71" s="36">
        <v>0</v>
      </c>
      <c r="AB71" s="36">
        <v>0</v>
      </c>
      <c r="AC71" s="35">
        <v>0</v>
      </c>
    </row>
    <row r="72" spans="1:29" x14ac:dyDescent="0.3">
      <c r="A72" s="27" t="s">
        <v>176</v>
      </c>
      <c r="B72" s="35">
        <v>0</v>
      </c>
      <c r="C72" s="36">
        <v>0</v>
      </c>
      <c r="D72" s="35">
        <v>0</v>
      </c>
      <c r="E72" s="36">
        <v>0</v>
      </c>
      <c r="F72" s="36">
        <v>0</v>
      </c>
      <c r="G72" s="35">
        <v>0</v>
      </c>
      <c r="H72" s="36">
        <v>0</v>
      </c>
      <c r="I72" s="35">
        <v>0</v>
      </c>
      <c r="J72" s="36">
        <v>0</v>
      </c>
      <c r="K72" s="36">
        <v>0</v>
      </c>
      <c r="L72" s="35">
        <v>0</v>
      </c>
      <c r="M72" s="36">
        <v>0</v>
      </c>
      <c r="N72" s="35">
        <v>0</v>
      </c>
      <c r="O72" s="35">
        <v>0</v>
      </c>
      <c r="P72" s="35">
        <v>0</v>
      </c>
      <c r="Q72" s="36">
        <v>0</v>
      </c>
      <c r="R72" s="35">
        <v>0</v>
      </c>
      <c r="S72" s="35">
        <v>0</v>
      </c>
      <c r="T72" s="36">
        <v>0</v>
      </c>
      <c r="U72" s="35">
        <v>0</v>
      </c>
      <c r="V72" s="36">
        <v>0</v>
      </c>
      <c r="W72" s="36">
        <v>0</v>
      </c>
      <c r="X72" s="35">
        <v>0</v>
      </c>
      <c r="Y72" s="36">
        <v>0</v>
      </c>
      <c r="Z72" s="35">
        <v>0</v>
      </c>
      <c r="AA72" s="36">
        <v>0</v>
      </c>
      <c r="AB72" s="36">
        <v>0</v>
      </c>
      <c r="AC72" s="35">
        <v>0</v>
      </c>
    </row>
    <row r="73" spans="1:29" x14ac:dyDescent="0.3">
      <c r="A73" s="27" t="s">
        <v>177</v>
      </c>
      <c r="B73" s="35">
        <v>0</v>
      </c>
      <c r="C73" s="36">
        <v>0</v>
      </c>
      <c r="D73" s="35">
        <v>0</v>
      </c>
      <c r="E73" s="36">
        <v>0</v>
      </c>
      <c r="F73" s="36">
        <v>0</v>
      </c>
      <c r="G73" s="35">
        <v>0</v>
      </c>
      <c r="H73" s="36">
        <v>0</v>
      </c>
      <c r="I73" s="35">
        <v>0</v>
      </c>
      <c r="J73" s="36">
        <v>0</v>
      </c>
      <c r="K73" s="36">
        <v>0</v>
      </c>
      <c r="L73" s="35">
        <v>0</v>
      </c>
      <c r="M73" s="36">
        <v>0</v>
      </c>
      <c r="N73" s="35">
        <v>0</v>
      </c>
      <c r="O73" s="35">
        <v>0</v>
      </c>
      <c r="P73" s="35">
        <v>0</v>
      </c>
      <c r="Q73" s="36">
        <v>0</v>
      </c>
      <c r="R73" s="35">
        <v>0</v>
      </c>
      <c r="S73" s="35">
        <v>0</v>
      </c>
      <c r="T73" s="36">
        <v>0</v>
      </c>
      <c r="U73" s="35">
        <v>0</v>
      </c>
      <c r="V73" s="36">
        <v>0</v>
      </c>
      <c r="W73" s="36">
        <v>0</v>
      </c>
      <c r="X73" s="35">
        <v>0</v>
      </c>
      <c r="Y73" s="36">
        <v>0</v>
      </c>
      <c r="Z73" s="35">
        <v>0</v>
      </c>
      <c r="AA73" s="36">
        <v>0</v>
      </c>
      <c r="AB73" s="36">
        <v>0</v>
      </c>
      <c r="AC73" s="35">
        <v>0</v>
      </c>
    </row>
    <row r="74" spans="1:29" x14ac:dyDescent="0.3">
      <c r="A74" s="21" t="s">
        <v>178</v>
      </c>
      <c r="B74" s="35">
        <v>0</v>
      </c>
      <c r="C74" s="36">
        <v>0</v>
      </c>
      <c r="D74" s="35">
        <v>0</v>
      </c>
      <c r="E74" s="36">
        <v>0</v>
      </c>
      <c r="F74" s="36">
        <v>0</v>
      </c>
      <c r="G74" s="35">
        <v>0</v>
      </c>
      <c r="H74" s="36">
        <v>0</v>
      </c>
      <c r="I74" s="35">
        <v>0</v>
      </c>
      <c r="J74" s="36">
        <v>0</v>
      </c>
      <c r="K74" s="36">
        <v>0</v>
      </c>
      <c r="L74" s="35">
        <v>0</v>
      </c>
      <c r="M74" s="36">
        <v>0</v>
      </c>
      <c r="N74" s="35">
        <v>0</v>
      </c>
      <c r="O74" s="35">
        <v>0</v>
      </c>
      <c r="P74" s="35">
        <v>0</v>
      </c>
      <c r="Q74" s="36">
        <v>0</v>
      </c>
      <c r="R74" s="35">
        <v>0</v>
      </c>
      <c r="S74" s="35">
        <v>0</v>
      </c>
      <c r="T74" s="36">
        <v>0</v>
      </c>
      <c r="U74" s="35">
        <v>0</v>
      </c>
      <c r="V74" s="36">
        <v>0</v>
      </c>
      <c r="W74" s="36">
        <v>0</v>
      </c>
      <c r="X74" s="35">
        <v>0</v>
      </c>
      <c r="Y74" s="36">
        <v>0</v>
      </c>
      <c r="Z74" s="35">
        <v>0</v>
      </c>
      <c r="AA74" s="36">
        <v>0</v>
      </c>
      <c r="AB74" s="36">
        <v>0</v>
      </c>
      <c r="AC74" s="35">
        <v>0</v>
      </c>
    </row>
    <row r="75" spans="1:29" x14ac:dyDescent="0.3">
      <c r="A75" s="27" t="s">
        <v>179</v>
      </c>
      <c r="B75" s="35">
        <v>0</v>
      </c>
      <c r="C75" s="36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  <c r="J75" s="36">
        <v>0</v>
      </c>
      <c r="K75" s="36">
        <v>0</v>
      </c>
      <c r="L75" s="35">
        <v>0</v>
      </c>
      <c r="M75" s="36">
        <v>0</v>
      </c>
      <c r="N75" s="35">
        <v>0</v>
      </c>
      <c r="O75" s="35">
        <v>0</v>
      </c>
      <c r="P75" s="35">
        <v>0</v>
      </c>
      <c r="Q75" s="36">
        <v>0</v>
      </c>
      <c r="R75" s="35">
        <v>0</v>
      </c>
      <c r="S75" s="35">
        <v>0</v>
      </c>
      <c r="T75" s="36">
        <v>0</v>
      </c>
      <c r="U75" s="35">
        <v>0</v>
      </c>
      <c r="V75" s="36">
        <v>0</v>
      </c>
      <c r="W75" s="36">
        <v>0</v>
      </c>
      <c r="X75" s="35">
        <v>0</v>
      </c>
      <c r="Y75" s="36">
        <v>0</v>
      </c>
      <c r="Z75" s="35">
        <v>0</v>
      </c>
      <c r="AA75" s="36">
        <v>0</v>
      </c>
      <c r="AB75" s="36">
        <v>0</v>
      </c>
      <c r="AC75" s="35">
        <v>0</v>
      </c>
    </row>
    <row r="76" spans="1:29" x14ac:dyDescent="0.3">
      <c r="A76" s="21" t="s">
        <v>119</v>
      </c>
      <c r="B76" s="35">
        <v>0</v>
      </c>
      <c r="C76" s="36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35">
        <v>0</v>
      </c>
      <c r="J76" s="36">
        <v>0</v>
      </c>
      <c r="K76" s="36">
        <v>0</v>
      </c>
      <c r="L76" s="35">
        <v>0</v>
      </c>
      <c r="M76" s="36">
        <v>0</v>
      </c>
      <c r="N76" s="35">
        <v>0</v>
      </c>
      <c r="O76" s="35">
        <v>0</v>
      </c>
      <c r="P76" s="35">
        <v>0</v>
      </c>
      <c r="Q76" s="36">
        <v>0</v>
      </c>
      <c r="R76" s="35">
        <v>0</v>
      </c>
      <c r="S76" s="35">
        <v>0</v>
      </c>
      <c r="T76" s="36">
        <v>0</v>
      </c>
      <c r="U76" s="35">
        <v>0</v>
      </c>
      <c r="V76" s="36">
        <v>0</v>
      </c>
      <c r="W76" s="36">
        <v>0</v>
      </c>
      <c r="X76" s="35">
        <v>0</v>
      </c>
      <c r="Y76" s="36">
        <v>0</v>
      </c>
      <c r="Z76" s="35">
        <v>0</v>
      </c>
      <c r="AA76" s="36">
        <v>0</v>
      </c>
      <c r="AB76" s="36">
        <v>0</v>
      </c>
      <c r="AC76" s="35">
        <v>0</v>
      </c>
    </row>
    <row r="77" spans="1:29" x14ac:dyDescent="0.3">
      <c r="A77" s="21" t="s">
        <v>180</v>
      </c>
      <c r="B77" s="35">
        <v>0</v>
      </c>
      <c r="C77" s="36">
        <v>0</v>
      </c>
      <c r="D77" s="35">
        <v>0</v>
      </c>
      <c r="E77" s="36">
        <v>0</v>
      </c>
      <c r="F77" s="36">
        <v>0</v>
      </c>
      <c r="G77" s="35">
        <v>0</v>
      </c>
      <c r="H77" s="36">
        <v>0</v>
      </c>
      <c r="I77" s="35">
        <v>0</v>
      </c>
      <c r="J77" s="36">
        <v>0</v>
      </c>
      <c r="K77" s="36">
        <v>0</v>
      </c>
      <c r="L77" s="35">
        <v>0</v>
      </c>
      <c r="M77" s="36">
        <v>0</v>
      </c>
      <c r="N77" s="35">
        <v>0</v>
      </c>
      <c r="O77" s="35">
        <v>0</v>
      </c>
      <c r="P77" s="35">
        <v>0</v>
      </c>
      <c r="Q77" s="36">
        <v>0</v>
      </c>
      <c r="R77" s="29">
        <v>1</v>
      </c>
      <c r="S77" s="35">
        <v>0</v>
      </c>
      <c r="T77" s="36">
        <v>0</v>
      </c>
      <c r="U77" s="35">
        <v>0</v>
      </c>
      <c r="V77" s="36">
        <v>0</v>
      </c>
      <c r="W77" s="36">
        <v>0</v>
      </c>
      <c r="X77" s="35">
        <v>0</v>
      </c>
      <c r="Y77" s="36">
        <v>0</v>
      </c>
      <c r="Z77" s="35">
        <v>0</v>
      </c>
      <c r="AA77" s="36">
        <v>0</v>
      </c>
      <c r="AB77" s="36">
        <v>0</v>
      </c>
      <c r="AC77" s="35">
        <v>0</v>
      </c>
    </row>
    <row r="78" spans="1:29" x14ac:dyDescent="0.3">
      <c r="A78" s="21" t="s">
        <v>181</v>
      </c>
      <c r="B78" s="35">
        <v>0</v>
      </c>
      <c r="C78" s="36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35">
        <v>0</v>
      </c>
      <c r="J78" s="36">
        <v>0</v>
      </c>
      <c r="K78" s="36">
        <v>0</v>
      </c>
      <c r="L78" s="35">
        <v>0</v>
      </c>
      <c r="M78" s="36">
        <v>0</v>
      </c>
      <c r="N78" s="35">
        <v>0</v>
      </c>
      <c r="O78" s="35">
        <v>0</v>
      </c>
      <c r="P78" s="35">
        <v>0</v>
      </c>
      <c r="Q78" s="36">
        <v>0</v>
      </c>
      <c r="R78" s="35">
        <v>0</v>
      </c>
      <c r="S78" s="35">
        <v>0</v>
      </c>
      <c r="T78" s="36">
        <v>0</v>
      </c>
      <c r="U78" s="35">
        <v>0</v>
      </c>
      <c r="V78" s="34">
        <v>1</v>
      </c>
      <c r="W78" s="36">
        <v>0</v>
      </c>
      <c r="X78" s="35">
        <v>0</v>
      </c>
      <c r="Y78" s="36">
        <v>0</v>
      </c>
      <c r="Z78" s="35">
        <v>0</v>
      </c>
      <c r="AA78" s="34">
        <v>2</v>
      </c>
      <c r="AB78" s="34">
        <v>1</v>
      </c>
      <c r="AC78" s="35">
        <v>0</v>
      </c>
    </row>
    <row r="79" spans="1:29" x14ac:dyDescent="0.3">
      <c r="A79" s="21" t="s">
        <v>182</v>
      </c>
      <c r="B79" s="35">
        <v>0</v>
      </c>
      <c r="C79" s="36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35">
        <v>0</v>
      </c>
      <c r="J79" s="36">
        <v>0</v>
      </c>
      <c r="K79" s="36">
        <v>0</v>
      </c>
      <c r="L79" s="35">
        <v>0</v>
      </c>
      <c r="M79" s="36">
        <v>0</v>
      </c>
      <c r="N79" s="35">
        <v>0</v>
      </c>
      <c r="O79" s="29">
        <v>1</v>
      </c>
      <c r="P79" s="35">
        <v>0</v>
      </c>
      <c r="Q79" s="36">
        <v>0</v>
      </c>
      <c r="R79" s="29">
        <v>1</v>
      </c>
      <c r="S79" s="29">
        <v>10</v>
      </c>
      <c r="T79" s="36">
        <v>0</v>
      </c>
      <c r="U79" s="29">
        <v>3</v>
      </c>
      <c r="V79" s="36">
        <v>0</v>
      </c>
      <c r="W79" s="34">
        <v>4</v>
      </c>
      <c r="X79" s="35">
        <v>0</v>
      </c>
      <c r="Y79" s="36">
        <v>0</v>
      </c>
      <c r="Z79" s="29">
        <v>1</v>
      </c>
      <c r="AA79" s="36">
        <v>0</v>
      </c>
      <c r="AB79" s="36">
        <v>0</v>
      </c>
      <c r="AC79" s="35">
        <v>0</v>
      </c>
    </row>
    <row r="80" spans="1:29" x14ac:dyDescent="0.3">
      <c r="A80" s="27" t="s">
        <v>183</v>
      </c>
      <c r="B80" s="29">
        <v>13</v>
      </c>
      <c r="C80" s="36">
        <v>0</v>
      </c>
      <c r="D80" s="35">
        <v>0</v>
      </c>
      <c r="E80" s="36">
        <v>0</v>
      </c>
      <c r="F80" s="36">
        <v>0</v>
      </c>
      <c r="G80" s="35">
        <v>0</v>
      </c>
      <c r="H80" s="36">
        <v>0</v>
      </c>
      <c r="I80" s="35">
        <v>0</v>
      </c>
      <c r="J80" s="36">
        <v>0</v>
      </c>
      <c r="K80" s="36">
        <v>0</v>
      </c>
      <c r="L80" s="29">
        <v>3</v>
      </c>
      <c r="M80" s="36">
        <v>0</v>
      </c>
      <c r="N80" s="35">
        <v>0</v>
      </c>
      <c r="O80" s="35">
        <v>0</v>
      </c>
      <c r="P80" s="35">
        <v>0</v>
      </c>
      <c r="Q80" s="36">
        <v>0</v>
      </c>
      <c r="R80" s="35">
        <v>0</v>
      </c>
      <c r="S80" s="35">
        <v>0</v>
      </c>
      <c r="T80" s="36">
        <v>0</v>
      </c>
      <c r="U80" s="35">
        <v>0</v>
      </c>
      <c r="V80" s="36">
        <v>0</v>
      </c>
      <c r="W80" s="36">
        <v>0</v>
      </c>
      <c r="X80" s="35">
        <v>0</v>
      </c>
      <c r="Y80" s="36">
        <v>0</v>
      </c>
      <c r="Z80" s="35">
        <v>0</v>
      </c>
      <c r="AA80" s="36">
        <v>0</v>
      </c>
      <c r="AB80" s="36">
        <v>0</v>
      </c>
      <c r="AC80" s="35">
        <v>0</v>
      </c>
    </row>
    <row r="81" spans="1:29" x14ac:dyDescent="0.3">
      <c r="A81" s="21" t="s">
        <v>184</v>
      </c>
      <c r="B81" s="35">
        <v>0</v>
      </c>
      <c r="C81" s="36">
        <v>0</v>
      </c>
      <c r="D81" s="35">
        <v>0</v>
      </c>
      <c r="E81" s="36">
        <v>0</v>
      </c>
      <c r="F81" s="36">
        <v>0</v>
      </c>
      <c r="G81" s="35">
        <v>0</v>
      </c>
      <c r="H81" s="36">
        <v>0</v>
      </c>
      <c r="I81" s="35">
        <v>0</v>
      </c>
      <c r="J81" s="36">
        <v>0</v>
      </c>
      <c r="K81" s="36">
        <v>0</v>
      </c>
      <c r="L81" s="35">
        <v>0</v>
      </c>
      <c r="M81" s="36">
        <v>0</v>
      </c>
      <c r="N81" s="35">
        <v>0</v>
      </c>
      <c r="O81" s="35">
        <v>0</v>
      </c>
      <c r="P81" s="35">
        <v>0</v>
      </c>
      <c r="Q81" s="36">
        <v>0</v>
      </c>
      <c r="R81" s="35">
        <v>0</v>
      </c>
      <c r="S81" s="35">
        <v>0</v>
      </c>
      <c r="T81" s="36">
        <v>0</v>
      </c>
      <c r="U81" s="35">
        <v>0</v>
      </c>
      <c r="V81" s="36">
        <v>0</v>
      </c>
      <c r="W81" s="36">
        <v>0</v>
      </c>
      <c r="X81" s="35">
        <v>0</v>
      </c>
      <c r="Y81" s="36">
        <v>0</v>
      </c>
      <c r="Z81" s="29">
        <v>1</v>
      </c>
      <c r="AA81" s="36">
        <v>0</v>
      </c>
      <c r="AB81" s="36">
        <v>0</v>
      </c>
      <c r="AC81" s="35">
        <v>0</v>
      </c>
    </row>
    <row r="82" spans="1:29" x14ac:dyDescent="0.3">
      <c r="A82" s="21" t="s">
        <v>185</v>
      </c>
      <c r="B82" s="35">
        <v>0</v>
      </c>
      <c r="C82" s="36">
        <v>0</v>
      </c>
      <c r="D82" s="35">
        <v>0</v>
      </c>
      <c r="E82" s="36">
        <v>0</v>
      </c>
      <c r="F82" s="36">
        <v>0</v>
      </c>
      <c r="G82" s="35">
        <v>0</v>
      </c>
      <c r="H82" s="36">
        <v>0</v>
      </c>
      <c r="I82" s="35">
        <v>0</v>
      </c>
      <c r="J82" s="36">
        <v>0</v>
      </c>
      <c r="K82" s="36">
        <v>0</v>
      </c>
      <c r="L82" s="35">
        <v>0</v>
      </c>
      <c r="M82" s="36">
        <v>0</v>
      </c>
      <c r="N82" s="35">
        <v>0</v>
      </c>
      <c r="O82" s="35">
        <v>0</v>
      </c>
      <c r="P82" s="35">
        <v>0</v>
      </c>
      <c r="Q82" s="36">
        <v>0</v>
      </c>
      <c r="R82" s="35">
        <v>0</v>
      </c>
      <c r="S82" s="35">
        <v>0</v>
      </c>
      <c r="T82" s="36">
        <v>0</v>
      </c>
      <c r="U82" s="35">
        <v>0</v>
      </c>
      <c r="V82" s="36">
        <v>0</v>
      </c>
      <c r="W82" s="34">
        <v>1</v>
      </c>
      <c r="X82" s="35">
        <v>0</v>
      </c>
      <c r="Y82" s="36">
        <v>0</v>
      </c>
      <c r="Z82" s="35">
        <v>0</v>
      </c>
      <c r="AA82" s="36">
        <v>0</v>
      </c>
      <c r="AB82" s="36">
        <v>0</v>
      </c>
      <c r="AC82" s="35">
        <v>0</v>
      </c>
    </row>
    <row r="83" spans="1:29" x14ac:dyDescent="0.3">
      <c r="A83" s="27" t="s">
        <v>186</v>
      </c>
      <c r="B83" s="35">
        <v>0</v>
      </c>
      <c r="C83" s="36">
        <v>0</v>
      </c>
      <c r="D83" s="35">
        <v>0</v>
      </c>
      <c r="E83" s="36">
        <v>0</v>
      </c>
      <c r="F83" s="36">
        <v>0</v>
      </c>
      <c r="G83" s="35">
        <v>0</v>
      </c>
      <c r="H83" s="36">
        <v>0</v>
      </c>
      <c r="I83" s="35">
        <v>0</v>
      </c>
      <c r="J83" s="36">
        <v>0</v>
      </c>
      <c r="K83" s="36">
        <v>0</v>
      </c>
      <c r="L83" s="35">
        <v>0</v>
      </c>
      <c r="M83" s="36">
        <v>0</v>
      </c>
      <c r="N83" s="35">
        <v>0</v>
      </c>
      <c r="O83" s="35">
        <v>0</v>
      </c>
      <c r="P83" s="35">
        <v>0</v>
      </c>
      <c r="Q83" s="36">
        <v>0</v>
      </c>
      <c r="R83" s="35">
        <v>0</v>
      </c>
      <c r="S83" s="35">
        <v>0</v>
      </c>
      <c r="T83" s="36">
        <v>0</v>
      </c>
      <c r="U83" s="35">
        <v>0</v>
      </c>
      <c r="V83" s="36">
        <v>0</v>
      </c>
      <c r="W83" s="36">
        <v>0</v>
      </c>
      <c r="X83" s="35">
        <v>0</v>
      </c>
      <c r="Y83" s="36">
        <v>0</v>
      </c>
      <c r="Z83" s="35">
        <v>0</v>
      </c>
      <c r="AA83" s="36">
        <v>0</v>
      </c>
      <c r="AB83" s="36">
        <v>0</v>
      </c>
      <c r="AC83" s="35">
        <v>0</v>
      </c>
    </row>
    <row r="84" spans="1:29" x14ac:dyDescent="0.3">
      <c r="A84" s="27" t="s">
        <v>187</v>
      </c>
      <c r="B84" s="35">
        <v>0</v>
      </c>
      <c r="C84" s="36">
        <v>0</v>
      </c>
      <c r="D84" s="35">
        <v>0</v>
      </c>
      <c r="E84" s="36">
        <v>0</v>
      </c>
      <c r="F84" s="36">
        <v>0</v>
      </c>
      <c r="G84" s="35">
        <v>0</v>
      </c>
      <c r="H84" s="36">
        <v>0</v>
      </c>
      <c r="I84" s="35">
        <v>0</v>
      </c>
      <c r="J84" s="36">
        <v>0</v>
      </c>
      <c r="K84" s="36">
        <v>0</v>
      </c>
      <c r="L84" s="35">
        <v>0</v>
      </c>
      <c r="M84" s="36">
        <v>0</v>
      </c>
      <c r="N84" s="35">
        <v>0</v>
      </c>
      <c r="O84" s="35">
        <v>0</v>
      </c>
      <c r="P84" s="35">
        <v>0</v>
      </c>
      <c r="Q84" s="36">
        <v>0</v>
      </c>
      <c r="R84" s="35">
        <v>0</v>
      </c>
      <c r="S84" s="35">
        <v>0</v>
      </c>
      <c r="T84" s="36">
        <v>0</v>
      </c>
      <c r="U84" s="35">
        <v>0</v>
      </c>
      <c r="V84" s="36">
        <v>0</v>
      </c>
      <c r="W84" s="36">
        <v>0</v>
      </c>
      <c r="X84" s="35">
        <v>0</v>
      </c>
      <c r="Y84" s="36">
        <v>0</v>
      </c>
      <c r="Z84" s="35">
        <v>0</v>
      </c>
      <c r="AA84" s="36">
        <v>0</v>
      </c>
      <c r="AB84" s="36">
        <v>0</v>
      </c>
      <c r="AC84" s="35">
        <v>0</v>
      </c>
    </row>
    <row r="85" spans="1:29" x14ac:dyDescent="0.3">
      <c r="A85" s="27" t="s">
        <v>188</v>
      </c>
      <c r="B85" s="35">
        <v>0</v>
      </c>
      <c r="C85" s="36">
        <v>0</v>
      </c>
      <c r="D85" s="35">
        <v>0</v>
      </c>
      <c r="E85" s="36">
        <v>0</v>
      </c>
      <c r="F85" s="36">
        <v>0</v>
      </c>
      <c r="G85" s="35">
        <v>0</v>
      </c>
      <c r="H85" s="36">
        <v>0</v>
      </c>
      <c r="I85" s="35">
        <v>0</v>
      </c>
      <c r="J85" s="36">
        <v>0</v>
      </c>
      <c r="K85" s="36">
        <v>0</v>
      </c>
      <c r="L85" s="35">
        <v>0</v>
      </c>
      <c r="M85" s="36">
        <v>0</v>
      </c>
      <c r="N85" s="35">
        <v>0</v>
      </c>
      <c r="O85" s="35">
        <v>0</v>
      </c>
      <c r="P85" s="35">
        <v>0</v>
      </c>
      <c r="Q85" s="36">
        <v>0</v>
      </c>
      <c r="R85" s="35">
        <v>0</v>
      </c>
      <c r="S85" s="35">
        <v>0</v>
      </c>
      <c r="T85" s="34">
        <v>2</v>
      </c>
      <c r="U85" s="29">
        <v>1</v>
      </c>
      <c r="V85" s="36">
        <v>0</v>
      </c>
      <c r="W85" s="36">
        <v>0</v>
      </c>
      <c r="X85" s="35">
        <v>0</v>
      </c>
      <c r="Y85" s="34">
        <v>5</v>
      </c>
      <c r="Z85" s="29">
        <v>10</v>
      </c>
      <c r="AA85" s="34">
        <v>8</v>
      </c>
      <c r="AB85" s="36">
        <v>0</v>
      </c>
      <c r="AC85" s="29">
        <v>3</v>
      </c>
    </row>
    <row r="86" spans="1:29" x14ac:dyDescent="0.3">
      <c r="A86" s="27" t="s">
        <v>189</v>
      </c>
      <c r="B86" s="35">
        <v>0</v>
      </c>
      <c r="C86" s="36">
        <v>0</v>
      </c>
      <c r="D86" s="35">
        <v>0</v>
      </c>
      <c r="E86" s="36">
        <v>0</v>
      </c>
      <c r="F86" s="36">
        <v>0</v>
      </c>
      <c r="G86" s="35">
        <v>0</v>
      </c>
      <c r="H86" s="36">
        <v>0</v>
      </c>
      <c r="I86" s="35">
        <v>0</v>
      </c>
      <c r="J86" s="36">
        <v>0</v>
      </c>
      <c r="K86" s="36">
        <v>0</v>
      </c>
      <c r="L86" s="35">
        <v>0</v>
      </c>
      <c r="M86" s="36">
        <v>0</v>
      </c>
      <c r="N86" s="35">
        <v>0</v>
      </c>
      <c r="O86" s="35">
        <v>0</v>
      </c>
      <c r="P86" s="35">
        <v>0</v>
      </c>
      <c r="Q86" s="36">
        <v>0</v>
      </c>
      <c r="R86" s="35">
        <v>0</v>
      </c>
      <c r="S86" s="35">
        <v>0</v>
      </c>
      <c r="T86" s="36">
        <v>0</v>
      </c>
      <c r="U86" s="35">
        <v>0</v>
      </c>
      <c r="V86" s="36">
        <v>0</v>
      </c>
      <c r="W86" s="36">
        <v>0</v>
      </c>
      <c r="X86" s="35">
        <v>0</v>
      </c>
      <c r="Y86" s="36">
        <v>0</v>
      </c>
      <c r="Z86" s="35">
        <v>0</v>
      </c>
      <c r="AA86" s="36">
        <v>0</v>
      </c>
      <c r="AB86" s="36">
        <v>0</v>
      </c>
      <c r="AC86" s="35">
        <v>0</v>
      </c>
    </row>
    <row r="87" spans="1:29" x14ac:dyDescent="0.3">
      <c r="A87" s="21" t="s">
        <v>190</v>
      </c>
      <c r="B87" s="35">
        <v>0</v>
      </c>
      <c r="C87" s="36">
        <v>0</v>
      </c>
      <c r="D87" s="35">
        <v>0</v>
      </c>
      <c r="E87" s="36">
        <v>0</v>
      </c>
      <c r="F87" s="36">
        <v>0</v>
      </c>
      <c r="G87" s="35">
        <v>0</v>
      </c>
      <c r="H87" s="36">
        <v>0</v>
      </c>
      <c r="I87" s="35">
        <v>0</v>
      </c>
      <c r="J87" s="36">
        <v>0</v>
      </c>
      <c r="K87" s="36">
        <v>0</v>
      </c>
      <c r="L87" s="35">
        <v>0</v>
      </c>
      <c r="M87" s="36">
        <v>0</v>
      </c>
      <c r="N87" s="35">
        <v>0</v>
      </c>
      <c r="O87" s="35">
        <v>0</v>
      </c>
      <c r="P87" s="35">
        <v>0</v>
      </c>
      <c r="Q87" s="36">
        <v>0</v>
      </c>
      <c r="R87" s="35">
        <v>0</v>
      </c>
      <c r="S87" s="35">
        <v>0</v>
      </c>
      <c r="T87" s="34">
        <v>1</v>
      </c>
      <c r="U87" s="29">
        <v>2</v>
      </c>
      <c r="V87" s="36">
        <v>0</v>
      </c>
      <c r="W87" s="36">
        <v>0</v>
      </c>
      <c r="X87" s="35">
        <v>0</v>
      </c>
      <c r="Y87" s="36">
        <v>0</v>
      </c>
      <c r="Z87" s="35">
        <v>0</v>
      </c>
      <c r="AA87" s="34">
        <v>1</v>
      </c>
      <c r="AB87" s="36">
        <v>0</v>
      </c>
      <c r="AC87" s="35">
        <v>0</v>
      </c>
    </row>
    <row r="88" spans="1:29" x14ac:dyDescent="0.3">
      <c r="A88" s="27" t="s">
        <v>191</v>
      </c>
      <c r="B88" s="35">
        <v>0</v>
      </c>
      <c r="C88" s="36">
        <v>0</v>
      </c>
      <c r="D88" s="35">
        <v>0</v>
      </c>
      <c r="E88" s="36">
        <v>0</v>
      </c>
      <c r="F88" s="36">
        <v>0</v>
      </c>
      <c r="G88" s="35">
        <v>0</v>
      </c>
      <c r="H88" s="36">
        <v>0</v>
      </c>
      <c r="I88" s="35">
        <v>0</v>
      </c>
      <c r="J88" s="36">
        <v>0</v>
      </c>
      <c r="K88" s="36">
        <v>0</v>
      </c>
      <c r="L88" s="35">
        <v>0</v>
      </c>
      <c r="M88" s="36">
        <v>0</v>
      </c>
      <c r="N88" s="35">
        <v>0</v>
      </c>
      <c r="O88" s="35">
        <v>0</v>
      </c>
      <c r="P88" s="35">
        <v>0</v>
      </c>
      <c r="Q88" s="36">
        <v>0</v>
      </c>
      <c r="R88" s="35">
        <v>0</v>
      </c>
      <c r="S88" s="35">
        <v>0</v>
      </c>
      <c r="T88" s="36">
        <v>0</v>
      </c>
      <c r="U88" s="35">
        <v>0</v>
      </c>
      <c r="V88" s="36">
        <v>0</v>
      </c>
      <c r="W88" s="36">
        <v>0</v>
      </c>
      <c r="X88" s="35">
        <v>0</v>
      </c>
      <c r="Y88" s="36">
        <v>0</v>
      </c>
      <c r="Z88" s="35">
        <v>0</v>
      </c>
      <c r="AA88" s="36">
        <v>0</v>
      </c>
      <c r="AB88" s="36">
        <v>0</v>
      </c>
      <c r="AC88" s="35">
        <v>0</v>
      </c>
    </row>
    <row r="89" spans="1:29" x14ac:dyDescent="0.3">
      <c r="A89" s="27" t="s">
        <v>192</v>
      </c>
      <c r="B89" s="35">
        <v>0</v>
      </c>
      <c r="C89" s="36">
        <v>0</v>
      </c>
      <c r="D89" s="35">
        <v>0</v>
      </c>
      <c r="E89" s="36">
        <v>0</v>
      </c>
      <c r="F89" s="36">
        <v>0</v>
      </c>
      <c r="G89" s="35">
        <v>0</v>
      </c>
      <c r="H89" s="36">
        <v>0</v>
      </c>
      <c r="I89" s="35">
        <v>0</v>
      </c>
      <c r="J89" s="36">
        <v>0</v>
      </c>
      <c r="K89" s="36">
        <v>0</v>
      </c>
      <c r="L89" s="29">
        <v>1</v>
      </c>
      <c r="M89" s="36">
        <v>0</v>
      </c>
      <c r="N89" s="35">
        <v>0</v>
      </c>
      <c r="O89" s="35">
        <v>0</v>
      </c>
      <c r="P89" s="35">
        <v>0</v>
      </c>
      <c r="Q89" s="36">
        <v>0</v>
      </c>
      <c r="R89" s="35">
        <v>0</v>
      </c>
      <c r="S89" s="35">
        <v>0</v>
      </c>
      <c r="T89" s="36">
        <v>0</v>
      </c>
      <c r="U89" s="29">
        <v>1</v>
      </c>
      <c r="V89" s="34">
        <v>1</v>
      </c>
      <c r="W89" s="36">
        <v>0</v>
      </c>
      <c r="X89" s="35">
        <v>0</v>
      </c>
      <c r="Y89" s="36">
        <v>0</v>
      </c>
      <c r="Z89" s="35">
        <v>0</v>
      </c>
      <c r="AA89" s="36">
        <v>0</v>
      </c>
      <c r="AB89" s="36">
        <v>0</v>
      </c>
      <c r="AC89" s="35">
        <v>0</v>
      </c>
    </row>
    <row r="90" spans="1:29" x14ac:dyDescent="0.3">
      <c r="A90" s="27" t="s">
        <v>193</v>
      </c>
      <c r="B90" s="35">
        <v>0</v>
      </c>
      <c r="C90" s="36">
        <v>0</v>
      </c>
      <c r="D90" s="35">
        <v>0</v>
      </c>
      <c r="E90" s="36">
        <v>0</v>
      </c>
      <c r="F90" s="36">
        <v>0</v>
      </c>
      <c r="G90" s="35">
        <v>0</v>
      </c>
      <c r="H90" s="36">
        <v>0</v>
      </c>
      <c r="I90" s="35">
        <v>0</v>
      </c>
      <c r="J90" s="36">
        <v>0</v>
      </c>
      <c r="K90" s="36">
        <v>0</v>
      </c>
      <c r="L90" s="35">
        <v>0</v>
      </c>
      <c r="M90" s="36">
        <v>0</v>
      </c>
      <c r="N90" s="35">
        <v>0</v>
      </c>
      <c r="O90" s="35">
        <v>0</v>
      </c>
      <c r="P90" s="35">
        <v>0</v>
      </c>
      <c r="Q90" s="36">
        <v>0</v>
      </c>
      <c r="R90" s="35">
        <v>0</v>
      </c>
      <c r="S90" s="35">
        <v>0</v>
      </c>
      <c r="T90" s="36">
        <v>0</v>
      </c>
      <c r="U90" s="35">
        <v>0</v>
      </c>
      <c r="V90" s="36">
        <v>0</v>
      </c>
      <c r="W90" s="36">
        <v>0</v>
      </c>
      <c r="X90" s="35">
        <v>0</v>
      </c>
      <c r="Y90" s="36">
        <v>0</v>
      </c>
      <c r="Z90" s="35">
        <v>0</v>
      </c>
      <c r="AA90" s="36">
        <v>0</v>
      </c>
      <c r="AB90" s="36">
        <v>0</v>
      </c>
      <c r="AC90" s="35">
        <v>0</v>
      </c>
    </row>
    <row r="91" spans="1:29" x14ac:dyDescent="0.3">
      <c r="A91" s="21" t="s">
        <v>194</v>
      </c>
      <c r="B91" s="29">
        <v>1</v>
      </c>
      <c r="C91" s="36">
        <v>0</v>
      </c>
      <c r="D91" s="29">
        <v>2</v>
      </c>
      <c r="E91" s="34">
        <v>7</v>
      </c>
      <c r="F91" s="36">
        <v>0</v>
      </c>
      <c r="G91" s="35">
        <v>0</v>
      </c>
      <c r="H91" s="36">
        <v>0</v>
      </c>
      <c r="I91" s="35">
        <v>0</v>
      </c>
      <c r="J91" s="34">
        <v>5</v>
      </c>
      <c r="K91" s="34">
        <v>1</v>
      </c>
      <c r="L91" s="35">
        <v>0</v>
      </c>
      <c r="M91" s="34">
        <v>3</v>
      </c>
      <c r="N91" s="29">
        <v>7</v>
      </c>
      <c r="O91" s="35">
        <v>0</v>
      </c>
      <c r="P91" s="35">
        <v>0</v>
      </c>
      <c r="Q91" s="36">
        <v>0</v>
      </c>
      <c r="R91" s="35">
        <v>0</v>
      </c>
      <c r="S91" s="35">
        <v>0</v>
      </c>
      <c r="T91" s="36">
        <v>0</v>
      </c>
      <c r="U91" s="35">
        <v>0</v>
      </c>
      <c r="V91" s="36">
        <v>0</v>
      </c>
      <c r="W91" s="36">
        <v>0</v>
      </c>
      <c r="X91" s="35">
        <v>0</v>
      </c>
      <c r="Y91" s="36">
        <v>0</v>
      </c>
      <c r="Z91" s="29">
        <v>1</v>
      </c>
      <c r="AA91" s="36">
        <v>0</v>
      </c>
      <c r="AB91" s="36">
        <v>0</v>
      </c>
      <c r="AC91" s="35">
        <v>0</v>
      </c>
    </row>
    <row r="92" spans="1:29" x14ac:dyDescent="0.3">
      <c r="A92" s="27" t="s">
        <v>195</v>
      </c>
      <c r="B92" s="29">
        <v>1</v>
      </c>
      <c r="C92" s="36">
        <v>0</v>
      </c>
      <c r="D92" s="35">
        <v>0</v>
      </c>
      <c r="E92" s="36">
        <v>0</v>
      </c>
      <c r="F92" s="36">
        <v>0</v>
      </c>
      <c r="G92" s="35">
        <v>0</v>
      </c>
      <c r="H92" s="36">
        <v>0</v>
      </c>
      <c r="I92" s="35">
        <v>0</v>
      </c>
      <c r="J92" s="36">
        <v>0</v>
      </c>
      <c r="K92" s="36">
        <v>0</v>
      </c>
      <c r="L92" s="35">
        <v>0</v>
      </c>
      <c r="M92" s="36">
        <v>0</v>
      </c>
      <c r="N92" s="35">
        <v>0</v>
      </c>
      <c r="O92" s="35">
        <v>0</v>
      </c>
      <c r="P92" s="35">
        <v>0</v>
      </c>
      <c r="Q92" s="36">
        <v>0</v>
      </c>
      <c r="R92" s="35">
        <v>0</v>
      </c>
      <c r="S92" s="35">
        <v>0</v>
      </c>
      <c r="T92" s="36">
        <v>0</v>
      </c>
      <c r="U92" s="35">
        <v>0</v>
      </c>
      <c r="V92" s="36">
        <v>0</v>
      </c>
      <c r="W92" s="36">
        <v>0</v>
      </c>
      <c r="X92" s="35">
        <v>0</v>
      </c>
      <c r="Y92" s="36">
        <v>0</v>
      </c>
      <c r="Z92" s="35">
        <v>0</v>
      </c>
      <c r="AA92" s="36">
        <v>0</v>
      </c>
      <c r="AB92" s="36">
        <v>0</v>
      </c>
      <c r="AC92" s="35">
        <v>0</v>
      </c>
    </row>
    <row r="93" spans="1:29" x14ac:dyDescent="0.3">
      <c r="A93" s="27" t="s">
        <v>196</v>
      </c>
      <c r="B93" s="35">
        <v>0</v>
      </c>
      <c r="C93" s="36">
        <v>0</v>
      </c>
      <c r="D93" s="35">
        <v>0</v>
      </c>
      <c r="E93" s="36">
        <v>0</v>
      </c>
      <c r="F93" s="36">
        <v>0</v>
      </c>
      <c r="G93" s="35">
        <v>0</v>
      </c>
      <c r="H93" s="36">
        <v>0</v>
      </c>
      <c r="I93" s="35">
        <v>0</v>
      </c>
      <c r="J93" s="36">
        <v>0</v>
      </c>
      <c r="K93" s="36">
        <v>0</v>
      </c>
      <c r="L93" s="35">
        <v>0</v>
      </c>
      <c r="M93" s="36">
        <v>0</v>
      </c>
      <c r="N93" s="35">
        <v>0</v>
      </c>
      <c r="O93" s="35">
        <v>0</v>
      </c>
      <c r="P93" s="35">
        <v>0</v>
      </c>
      <c r="Q93" s="36">
        <v>0</v>
      </c>
      <c r="R93" s="35">
        <v>0</v>
      </c>
      <c r="S93" s="35">
        <v>0</v>
      </c>
      <c r="T93" s="36">
        <v>0</v>
      </c>
      <c r="U93" s="35">
        <v>0</v>
      </c>
      <c r="V93" s="36">
        <v>0</v>
      </c>
      <c r="W93" s="36">
        <v>0</v>
      </c>
      <c r="X93" s="35">
        <v>0</v>
      </c>
      <c r="Y93" s="36">
        <v>0</v>
      </c>
      <c r="Z93" s="35">
        <v>0</v>
      </c>
      <c r="AA93" s="36">
        <v>0</v>
      </c>
      <c r="AB93" s="36">
        <v>0</v>
      </c>
      <c r="AC93" s="35">
        <v>0</v>
      </c>
    </row>
    <row r="94" spans="1:29" x14ac:dyDescent="0.3">
      <c r="A94" s="27" t="s">
        <v>197</v>
      </c>
      <c r="B94" s="29">
        <v>11</v>
      </c>
      <c r="C94" s="36">
        <v>0</v>
      </c>
      <c r="D94" s="35">
        <v>0</v>
      </c>
      <c r="E94" s="36">
        <v>0</v>
      </c>
      <c r="F94" s="34">
        <v>7</v>
      </c>
      <c r="G94" s="35">
        <v>0</v>
      </c>
      <c r="H94" s="36">
        <v>0</v>
      </c>
      <c r="I94" s="35">
        <v>0</v>
      </c>
      <c r="J94" s="36">
        <v>0</v>
      </c>
      <c r="K94" s="34">
        <v>3</v>
      </c>
      <c r="L94" s="35">
        <v>0</v>
      </c>
      <c r="M94" s="36">
        <v>0</v>
      </c>
      <c r="N94" s="35">
        <v>0</v>
      </c>
      <c r="O94" s="29">
        <v>1</v>
      </c>
      <c r="P94" s="35">
        <v>0</v>
      </c>
      <c r="Q94" s="36">
        <v>0</v>
      </c>
      <c r="R94" s="35">
        <v>0</v>
      </c>
      <c r="S94" s="35">
        <v>0</v>
      </c>
      <c r="T94" s="36">
        <v>0</v>
      </c>
      <c r="U94" s="35">
        <v>0</v>
      </c>
      <c r="V94" s="36">
        <v>0</v>
      </c>
      <c r="W94" s="36">
        <v>0</v>
      </c>
      <c r="X94" s="35">
        <v>0</v>
      </c>
      <c r="Y94" s="36">
        <v>0</v>
      </c>
      <c r="Z94" s="35">
        <v>0</v>
      </c>
      <c r="AA94" s="36">
        <v>0</v>
      </c>
      <c r="AB94" s="36">
        <v>0</v>
      </c>
      <c r="AC94" s="35">
        <v>0</v>
      </c>
    </row>
    <row r="95" spans="1:29" x14ac:dyDescent="0.3">
      <c r="A95" s="27" t="s">
        <v>198</v>
      </c>
      <c r="B95" s="35">
        <v>0</v>
      </c>
      <c r="C95" s="36">
        <v>0</v>
      </c>
      <c r="D95" s="29">
        <v>1</v>
      </c>
      <c r="E95" s="36">
        <v>0</v>
      </c>
      <c r="F95" s="36">
        <v>0</v>
      </c>
      <c r="G95" s="35">
        <v>0</v>
      </c>
      <c r="H95" s="36">
        <v>0</v>
      </c>
      <c r="I95" s="35">
        <v>0</v>
      </c>
      <c r="J95" s="36">
        <v>0</v>
      </c>
      <c r="K95" s="36">
        <v>0</v>
      </c>
      <c r="L95" s="35">
        <v>0</v>
      </c>
      <c r="M95" s="36">
        <v>0</v>
      </c>
      <c r="N95" s="29">
        <v>1</v>
      </c>
      <c r="O95" s="35">
        <v>0</v>
      </c>
      <c r="P95" s="35">
        <v>0</v>
      </c>
      <c r="Q95" s="36">
        <v>0</v>
      </c>
      <c r="R95" s="35">
        <v>0</v>
      </c>
      <c r="S95" s="35">
        <v>0</v>
      </c>
      <c r="T95" s="34">
        <v>1</v>
      </c>
      <c r="U95" s="29">
        <v>1</v>
      </c>
      <c r="V95" s="36">
        <v>0</v>
      </c>
      <c r="W95" s="36">
        <v>0</v>
      </c>
      <c r="X95" s="35">
        <v>0</v>
      </c>
      <c r="Y95" s="34">
        <v>2</v>
      </c>
      <c r="Z95" s="29">
        <v>3</v>
      </c>
      <c r="AA95" s="34">
        <v>1</v>
      </c>
      <c r="AB95" s="36">
        <v>0</v>
      </c>
      <c r="AC95" s="29">
        <v>1</v>
      </c>
    </row>
    <row r="96" spans="1:29" x14ac:dyDescent="0.3">
      <c r="A96" s="21" t="s">
        <v>199</v>
      </c>
      <c r="B96" s="29">
        <v>3</v>
      </c>
      <c r="C96" s="36">
        <v>0</v>
      </c>
      <c r="D96" s="35">
        <v>0</v>
      </c>
      <c r="E96" s="36">
        <v>0</v>
      </c>
      <c r="F96" s="36">
        <v>0</v>
      </c>
      <c r="G96" s="35">
        <v>0</v>
      </c>
      <c r="H96" s="36">
        <v>0</v>
      </c>
      <c r="I96" s="35">
        <v>0</v>
      </c>
      <c r="J96" s="36">
        <v>0</v>
      </c>
      <c r="K96" s="36">
        <v>0</v>
      </c>
      <c r="L96" s="29">
        <v>1</v>
      </c>
      <c r="M96" s="36">
        <v>0</v>
      </c>
      <c r="N96" s="35">
        <v>0</v>
      </c>
      <c r="O96" s="35">
        <v>0</v>
      </c>
      <c r="P96" s="29">
        <v>1</v>
      </c>
      <c r="Q96" s="36">
        <v>0</v>
      </c>
      <c r="R96" s="35">
        <v>0</v>
      </c>
      <c r="S96" s="35">
        <v>0</v>
      </c>
      <c r="T96" s="36">
        <v>0</v>
      </c>
      <c r="U96" s="35">
        <v>0</v>
      </c>
      <c r="V96" s="36">
        <v>0</v>
      </c>
      <c r="W96" s="36">
        <v>0</v>
      </c>
      <c r="X96" s="35">
        <v>0</v>
      </c>
      <c r="Y96" s="36">
        <v>0</v>
      </c>
      <c r="Z96" s="35">
        <v>0</v>
      </c>
      <c r="AA96" s="36">
        <v>0</v>
      </c>
      <c r="AB96" s="36">
        <v>0</v>
      </c>
      <c r="AC96" s="35">
        <v>0</v>
      </c>
    </row>
    <row r="97" spans="1:29" x14ac:dyDescent="0.3">
      <c r="A97" s="27" t="s">
        <v>200</v>
      </c>
      <c r="B97" s="35">
        <v>0</v>
      </c>
      <c r="C97" s="36">
        <v>0</v>
      </c>
      <c r="D97" s="35">
        <v>0</v>
      </c>
      <c r="E97" s="36">
        <v>0</v>
      </c>
      <c r="F97" s="36">
        <v>0</v>
      </c>
      <c r="G97" s="35">
        <v>0</v>
      </c>
      <c r="H97" s="36">
        <v>0</v>
      </c>
      <c r="I97" s="35">
        <v>0</v>
      </c>
      <c r="J97" s="36">
        <v>0</v>
      </c>
      <c r="K97" s="36">
        <v>0</v>
      </c>
      <c r="L97" s="29">
        <v>5</v>
      </c>
      <c r="M97" s="36">
        <v>0</v>
      </c>
      <c r="N97" s="35">
        <v>0</v>
      </c>
      <c r="O97" s="35">
        <v>0</v>
      </c>
      <c r="P97" s="35">
        <v>0</v>
      </c>
      <c r="Q97" s="36">
        <v>0</v>
      </c>
      <c r="R97" s="35">
        <v>0</v>
      </c>
      <c r="S97" s="35">
        <v>0</v>
      </c>
      <c r="T97" s="36">
        <v>0</v>
      </c>
      <c r="U97" s="35">
        <v>0</v>
      </c>
      <c r="V97" s="36">
        <v>0</v>
      </c>
      <c r="W97" s="36">
        <v>0</v>
      </c>
      <c r="X97" s="35">
        <v>0</v>
      </c>
      <c r="Y97" s="36">
        <v>0</v>
      </c>
      <c r="Z97" s="35">
        <v>0</v>
      </c>
      <c r="AA97" s="36">
        <v>0</v>
      </c>
      <c r="AB97" s="36">
        <v>0</v>
      </c>
      <c r="AC97" s="35">
        <v>0</v>
      </c>
    </row>
    <row r="98" spans="1:29" x14ac:dyDescent="0.3">
      <c r="A98" s="27" t="s">
        <v>201</v>
      </c>
      <c r="B98" s="35">
        <v>0</v>
      </c>
      <c r="C98" s="36">
        <v>0</v>
      </c>
      <c r="D98" s="35">
        <v>0</v>
      </c>
      <c r="E98" s="36">
        <v>0</v>
      </c>
      <c r="F98" s="34">
        <v>1</v>
      </c>
      <c r="G98" s="29">
        <v>1</v>
      </c>
      <c r="H98" s="36">
        <v>0</v>
      </c>
      <c r="I98" s="35">
        <v>0</v>
      </c>
      <c r="J98" s="36">
        <v>0</v>
      </c>
      <c r="K98" s="36">
        <v>0</v>
      </c>
      <c r="L98" s="35">
        <v>0</v>
      </c>
      <c r="M98" s="34">
        <v>1</v>
      </c>
      <c r="N98" s="35">
        <v>0</v>
      </c>
      <c r="O98" s="35">
        <v>0</v>
      </c>
      <c r="P98" s="35">
        <v>0</v>
      </c>
      <c r="Q98" s="36">
        <v>0</v>
      </c>
      <c r="R98" s="35">
        <v>0</v>
      </c>
      <c r="S98" s="29">
        <v>1</v>
      </c>
      <c r="T98" s="36">
        <v>0</v>
      </c>
      <c r="U98" s="29">
        <v>2</v>
      </c>
      <c r="V98" s="34">
        <v>5</v>
      </c>
      <c r="W98" s="34">
        <v>25</v>
      </c>
      <c r="X98" s="29">
        <v>3</v>
      </c>
      <c r="Y98" s="36">
        <v>0</v>
      </c>
      <c r="Z98" s="29">
        <v>1</v>
      </c>
      <c r="AA98" s="34">
        <v>1</v>
      </c>
      <c r="AB98" s="34">
        <v>2</v>
      </c>
      <c r="AC98" s="35">
        <v>0</v>
      </c>
    </row>
    <row r="99" spans="1:29" x14ac:dyDescent="0.3">
      <c r="A99" s="27" t="s">
        <v>202</v>
      </c>
      <c r="B99" s="35">
        <v>0</v>
      </c>
      <c r="C99" s="36">
        <v>0</v>
      </c>
      <c r="D99" s="35">
        <v>0</v>
      </c>
      <c r="E99" s="36">
        <v>0</v>
      </c>
      <c r="F99" s="36">
        <v>0</v>
      </c>
      <c r="G99" s="35">
        <v>0</v>
      </c>
      <c r="H99" s="36">
        <v>0</v>
      </c>
      <c r="I99" s="35">
        <v>0</v>
      </c>
      <c r="J99" s="36">
        <v>0</v>
      </c>
      <c r="K99" s="36">
        <v>0</v>
      </c>
      <c r="L99" s="35">
        <v>0</v>
      </c>
      <c r="M99" s="36">
        <v>0</v>
      </c>
      <c r="N99" s="35">
        <v>0</v>
      </c>
      <c r="O99" s="35">
        <v>0</v>
      </c>
      <c r="P99" s="35">
        <v>0</v>
      </c>
      <c r="Q99" s="36">
        <v>0</v>
      </c>
      <c r="R99" s="35">
        <v>0</v>
      </c>
      <c r="S99" s="35">
        <v>0</v>
      </c>
      <c r="T99" s="36">
        <v>0</v>
      </c>
      <c r="U99" s="35">
        <v>0</v>
      </c>
      <c r="V99" s="36">
        <v>0</v>
      </c>
      <c r="W99" s="36">
        <v>0</v>
      </c>
      <c r="X99" s="35">
        <v>0</v>
      </c>
      <c r="Y99" s="36">
        <v>0</v>
      </c>
      <c r="Z99" s="35">
        <v>0</v>
      </c>
      <c r="AA99" s="36">
        <v>0</v>
      </c>
      <c r="AB99" s="36">
        <v>0</v>
      </c>
      <c r="AC99" s="35">
        <v>0</v>
      </c>
    </row>
    <row r="100" spans="1:29" x14ac:dyDescent="0.3">
      <c r="A100" s="21" t="s">
        <v>203</v>
      </c>
      <c r="B100" s="35">
        <v>0</v>
      </c>
      <c r="C100" s="36">
        <v>0</v>
      </c>
      <c r="D100" s="35">
        <v>0</v>
      </c>
      <c r="E100" s="36">
        <v>0</v>
      </c>
      <c r="F100" s="36">
        <v>0</v>
      </c>
      <c r="G100" s="35">
        <v>0</v>
      </c>
      <c r="H100" s="36">
        <v>0</v>
      </c>
      <c r="I100" s="35">
        <v>0</v>
      </c>
      <c r="J100" s="36">
        <v>0</v>
      </c>
      <c r="K100" s="36">
        <v>0</v>
      </c>
      <c r="L100" s="35">
        <v>0</v>
      </c>
      <c r="M100" s="36">
        <v>0</v>
      </c>
      <c r="N100" s="35">
        <v>0</v>
      </c>
      <c r="O100" s="35">
        <v>0</v>
      </c>
      <c r="P100" s="35">
        <v>0</v>
      </c>
      <c r="Q100" s="36">
        <v>0</v>
      </c>
      <c r="R100" s="35">
        <v>0</v>
      </c>
      <c r="S100" s="35">
        <v>0</v>
      </c>
      <c r="T100" s="36">
        <v>0</v>
      </c>
      <c r="U100" s="35">
        <v>0</v>
      </c>
      <c r="V100" s="36">
        <v>0</v>
      </c>
      <c r="W100" s="36">
        <v>0</v>
      </c>
      <c r="X100" s="35">
        <v>0</v>
      </c>
      <c r="Y100" s="36">
        <v>0</v>
      </c>
      <c r="Z100" s="35">
        <v>0</v>
      </c>
      <c r="AA100" s="36">
        <v>0</v>
      </c>
      <c r="AB100" s="36">
        <v>0</v>
      </c>
      <c r="AC100" s="35">
        <v>0</v>
      </c>
    </row>
    <row r="101" spans="1:29" x14ac:dyDescent="0.3">
      <c r="A101" s="27" t="s">
        <v>204</v>
      </c>
      <c r="B101" s="35">
        <v>0</v>
      </c>
      <c r="C101" s="36">
        <v>0</v>
      </c>
      <c r="D101" s="35">
        <v>0</v>
      </c>
      <c r="E101" s="34">
        <v>1</v>
      </c>
      <c r="F101" s="34">
        <v>6</v>
      </c>
      <c r="G101" s="35">
        <v>0</v>
      </c>
      <c r="H101" s="36">
        <v>0</v>
      </c>
      <c r="I101" s="35">
        <v>0</v>
      </c>
      <c r="J101" s="34">
        <v>3</v>
      </c>
      <c r="K101" s="34">
        <v>10</v>
      </c>
      <c r="L101" s="35">
        <v>0</v>
      </c>
      <c r="M101" s="36">
        <v>0</v>
      </c>
      <c r="N101" s="29">
        <v>13</v>
      </c>
      <c r="O101" s="29">
        <v>11</v>
      </c>
      <c r="P101" s="35">
        <v>0</v>
      </c>
      <c r="Q101" s="36">
        <v>0</v>
      </c>
      <c r="R101" s="29">
        <v>1</v>
      </c>
      <c r="S101" s="35">
        <v>0</v>
      </c>
      <c r="T101" s="36">
        <v>0</v>
      </c>
      <c r="U101" s="29">
        <v>1</v>
      </c>
      <c r="V101" s="36">
        <v>0</v>
      </c>
      <c r="W101" s="36">
        <v>0</v>
      </c>
      <c r="X101" s="29">
        <v>1</v>
      </c>
      <c r="Y101" s="36">
        <v>0</v>
      </c>
      <c r="Z101" s="29">
        <v>1</v>
      </c>
      <c r="AA101" s="36">
        <v>0</v>
      </c>
      <c r="AB101" s="36">
        <v>0</v>
      </c>
      <c r="AC101" s="35">
        <v>0</v>
      </c>
    </row>
    <row r="102" spans="1:29" x14ac:dyDescent="0.3">
      <c r="A102" s="21" t="s">
        <v>119</v>
      </c>
      <c r="B102" s="35">
        <v>0</v>
      </c>
      <c r="C102" s="36">
        <v>0</v>
      </c>
      <c r="D102" s="35">
        <v>0</v>
      </c>
      <c r="E102" s="36">
        <v>0</v>
      </c>
      <c r="F102" s="36">
        <v>0</v>
      </c>
      <c r="G102" s="35">
        <v>0</v>
      </c>
      <c r="H102" s="36">
        <v>0</v>
      </c>
      <c r="I102" s="35">
        <v>0</v>
      </c>
      <c r="J102" s="36">
        <v>0</v>
      </c>
      <c r="K102" s="36">
        <v>0</v>
      </c>
      <c r="L102" s="35">
        <v>0</v>
      </c>
      <c r="M102" s="36">
        <v>0</v>
      </c>
      <c r="N102" s="35">
        <v>0</v>
      </c>
      <c r="O102" s="35">
        <v>0</v>
      </c>
      <c r="P102" s="35">
        <v>0</v>
      </c>
      <c r="Q102" s="36">
        <v>0</v>
      </c>
      <c r="R102" s="35">
        <v>0</v>
      </c>
      <c r="S102" s="35">
        <v>0</v>
      </c>
      <c r="T102" s="36">
        <v>0</v>
      </c>
      <c r="U102" s="35">
        <v>0</v>
      </c>
      <c r="V102" s="36">
        <v>0</v>
      </c>
      <c r="W102" s="36">
        <v>0</v>
      </c>
      <c r="X102" s="35">
        <v>0</v>
      </c>
      <c r="Y102" s="36">
        <v>0</v>
      </c>
      <c r="Z102" s="35">
        <v>0</v>
      </c>
      <c r="AA102" s="36">
        <v>0</v>
      </c>
      <c r="AB102" s="36">
        <v>0</v>
      </c>
      <c r="AC102" s="35">
        <v>0</v>
      </c>
    </row>
    <row r="103" spans="1:29" x14ac:dyDescent="0.3">
      <c r="A103" s="21" t="s">
        <v>205</v>
      </c>
      <c r="B103" s="35">
        <v>0</v>
      </c>
      <c r="C103" s="36">
        <v>0</v>
      </c>
      <c r="D103" s="29">
        <v>1</v>
      </c>
      <c r="E103" s="36">
        <v>0</v>
      </c>
      <c r="F103" s="36">
        <v>0</v>
      </c>
      <c r="G103" s="35">
        <v>0</v>
      </c>
      <c r="H103" s="34">
        <v>5</v>
      </c>
      <c r="I103" s="35">
        <v>0</v>
      </c>
      <c r="J103" s="34">
        <v>1</v>
      </c>
      <c r="K103" s="36">
        <v>0</v>
      </c>
      <c r="L103" s="35">
        <v>0</v>
      </c>
      <c r="M103" s="36">
        <v>0</v>
      </c>
      <c r="N103" s="35">
        <v>0</v>
      </c>
      <c r="O103" s="29">
        <v>1</v>
      </c>
      <c r="P103" s="35">
        <v>0</v>
      </c>
      <c r="Q103" s="36">
        <v>0</v>
      </c>
      <c r="R103" s="35">
        <v>0</v>
      </c>
      <c r="S103" s="35">
        <v>0</v>
      </c>
      <c r="T103" s="36">
        <v>0</v>
      </c>
      <c r="U103" s="35">
        <v>0</v>
      </c>
      <c r="V103" s="36">
        <v>0</v>
      </c>
      <c r="W103" s="36">
        <v>0</v>
      </c>
      <c r="X103" s="35">
        <v>0</v>
      </c>
      <c r="Y103" s="36">
        <v>0</v>
      </c>
      <c r="Z103" s="35">
        <v>0</v>
      </c>
      <c r="AA103" s="36">
        <v>0</v>
      </c>
      <c r="AB103" s="36">
        <v>0</v>
      </c>
      <c r="AC103" s="35">
        <v>0</v>
      </c>
    </row>
    <row r="104" spans="1:29" x14ac:dyDescent="0.3">
      <c r="A104" s="21" t="s">
        <v>206</v>
      </c>
      <c r="B104" s="35">
        <v>0</v>
      </c>
      <c r="C104" s="34">
        <v>1</v>
      </c>
      <c r="D104" s="35">
        <v>0</v>
      </c>
      <c r="E104" s="36">
        <v>0</v>
      </c>
      <c r="F104" s="36">
        <v>0</v>
      </c>
      <c r="G104" s="35">
        <v>0</v>
      </c>
      <c r="H104" s="36">
        <v>0</v>
      </c>
      <c r="I104" s="35">
        <v>0</v>
      </c>
      <c r="J104" s="36">
        <v>0</v>
      </c>
      <c r="K104" s="36">
        <v>0</v>
      </c>
      <c r="L104" s="29">
        <v>12</v>
      </c>
      <c r="M104" s="36">
        <v>0</v>
      </c>
      <c r="N104" s="29">
        <v>1</v>
      </c>
      <c r="O104" s="35">
        <v>0</v>
      </c>
      <c r="P104" s="35">
        <v>0</v>
      </c>
      <c r="Q104" s="36">
        <v>0</v>
      </c>
      <c r="R104" s="35">
        <v>0</v>
      </c>
      <c r="S104" s="35">
        <v>0</v>
      </c>
      <c r="T104" s="36">
        <v>0</v>
      </c>
      <c r="U104" s="35">
        <v>0</v>
      </c>
      <c r="V104" s="34">
        <v>1</v>
      </c>
      <c r="W104" s="36">
        <v>0</v>
      </c>
      <c r="X104" s="35">
        <v>0</v>
      </c>
      <c r="Y104" s="36">
        <v>0</v>
      </c>
      <c r="Z104" s="35">
        <v>0</v>
      </c>
      <c r="AA104" s="36">
        <v>0</v>
      </c>
      <c r="AB104" s="36">
        <v>0</v>
      </c>
      <c r="AC104" s="35">
        <v>0</v>
      </c>
    </row>
    <row r="105" spans="1:29" x14ac:dyDescent="0.3">
      <c r="A105" s="27" t="s">
        <v>207</v>
      </c>
      <c r="B105" s="35">
        <v>0</v>
      </c>
      <c r="C105" s="36">
        <v>0</v>
      </c>
      <c r="D105" s="35">
        <v>0</v>
      </c>
      <c r="E105" s="36">
        <v>0</v>
      </c>
      <c r="F105" s="36">
        <v>0</v>
      </c>
      <c r="G105" s="35">
        <v>0</v>
      </c>
      <c r="H105" s="36">
        <v>0</v>
      </c>
      <c r="I105" s="35">
        <v>0</v>
      </c>
      <c r="J105" s="36">
        <v>0</v>
      </c>
      <c r="K105" s="36">
        <v>0</v>
      </c>
      <c r="L105" s="35">
        <v>0</v>
      </c>
      <c r="M105" s="36">
        <v>0</v>
      </c>
      <c r="N105" s="35">
        <v>0</v>
      </c>
      <c r="O105" s="35">
        <v>0</v>
      </c>
      <c r="P105" s="35">
        <v>0</v>
      </c>
      <c r="Q105" s="36">
        <v>0</v>
      </c>
      <c r="R105" s="35">
        <v>0</v>
      </c>
      <c r="S105" s="35">
        <v>0</v>
      </c>
      <c r="T105" s="36">
        <v>0</v>
      </c>
      <c r="U105" s="35">
        <v>0</v>
      </c>
      <c r="V105" s="34">
        <v>2</v>
      </c>
      <c r="W105" s="34">
        <v>2</v>
      </c>
      <c r="X105" s="29">
        <v>3</v>
      </c>
      <c r="Y105" s="36">
        <v>0</v>
      </c>
      <c r="Z105" s="29">
        <v>1</v>
      </c>
      <c r="AA105" s="36">
        <v>0</v>
      </c>
      <c r="AB105" s="36">
        <v>0</v>
      </c>
      <c r="AC105" s="35">
        <v>0</v>
      </c>
    </row>
    <row r="106" spans="1:29" x14ac:dyDescent="0.3">
      <c r="A106" s="27" t="s">
        <v>208</v>
      </c>
      <c r="B106" s="35">
        <v>0</v>
      </c>
      <c r="C106" s="36">
        <v>0</v>
      </c>
      <c r="D106" s="35">
        <v>0</v>
      </c>
      <c r="E106" s="36">
        <v>0</v>
      </c>
      <c r="F106" s="36">
        <v>0</v>
      </c>
      <c r="G106" s="35">
        <v>0</v>
      </c>
      <c r="H106" s="36">
        <v>0</v>
      </c>
      <c r="I106" s="35">
        <v>0</v>
      </c>
      <c r="J106" s="36">
        <v>0</v>
      </c>
      <c r="K106" s="36">
        <v>0</v>
      </c>
      <c r="L106" s="35">
        <v>0</v>
      </c>
      <c r="M106" s="34">
        <v>4</v>
      </c>
      <c r="N106" s="29">
        <v>1</v>
      </c>
      <c r="O106" s="35">
        <v>0</v>
      </c>
      <c r="P106" s="35">
        <v>0</v>
      </c>
      <c r="Q106" s="36">
        <v>0</v>
      </c>
      <c r="R106" s="35">
        <v>0</v>
      </c>
      <c r="S106" s="29">
        <v>1</v>
      </c>
      <c r="T106" s="34">
        <v>2</v>
      </c>
      <c r="U106" s="29">
        <v>1</v>
      </c>
      <c r="V106" s="34">
        <v>16</v>
      </c>
      <c r="W106" s="34">
        <v>1</v>
      </c>
      <c r="X106" s="29">
        <v>10</v>
      </c>
      <c r="Y106" s="34">
        <v>6</v>
      </c>
      <c r="Z106" s="29">
        <v>7</v>
      </c>
      <c r="AA106" s="34">
        <v>1</v>
      </c>
      <c r="AB106" s="36">
        <v>0</v>
      </c>
      <c r="AC106" s="35">
        <v>0</v>
      </c>
    </row>
    <row r="107" spans="1:29" x14ac:dyDescent="0.3">
      <c r="A107" s="27" t="s">
        <v>209</v>
      </c>
      <c r="B107" s="35">
        <v>0</v>
      </c>
      <c r="C107" s="36">
        <v>0</v>
      </c>
      <c r="D107" s="35">
        <v>0</v>
      </c>
      <c r="E107" s="36">
        <v>0</v>
      </c>
      <c r="F107" s="36">
        <v>0</v>
      </c>
      <c r="G107" s="35">
        <v>0</v>
      </c>
      <c r="H107" s="36">
        <v>0</v>
      </c>
      <c r="I107" s="35">
        <v>0</v>
      </c>
      <c r="J107" s="36">
        <v>0</v>
      </c>
      <c r="K107" s="36">
        <v>0</v>
      </c>
      <c r="L107" s="35">
        <v>0</v>
      </c>
      <c r="M107" s="36">
        <v>0</v>
      </c>
      <c r="N107" s="35">
        <v>0</v>
      </c>
      <c r="O107" s="35">
        <v>0</v>
      </c>
      <c r="P107" s="35">
        <v>0</v>
      </c>
      <c r="Q107" s="36">
        <v>0</v>
      </c>
      <c r="R107" s="29">
        <v>1</v>
      </c>
      <c r="S107" s="35">
        <v>0</v>
      </c>
      <c r="T107" s="36">
        <v>0</v>
      </c>
      <c r="U107" s="35">
        <v>0</v>
      </c>
      <c r="V107" s="36">
        <v>0</v>
      </c>
      <c r="W107" s="36">
        <v>0</v>
      </c>
      <c r="X107" s="35">
        <v>0</v>
      </c>
      <c r="Y107" s="36">
        <v>0</v>
      </c>
      <c r="Z107" s="35">
        <v>0</v>
      </c>
      <c r="AA107" s="36">
        <v>0</v>
      </c>
      <c r="AB107" s="36">
        <v>0</v>
      </c>
      <c r="AC107" s="35">
        <v>0</v>
      </c>
    </row>
    <row r="108" spans="1:29" x14ac:dyDescent="0.3">
      <c r="A108" s="27" t="s">
        <v>210</v>
      </c>
      <c r="B108" s="35">
        <v>0</v>
      </c>
      <c r="C108" s="36">
        <v>0</v>
      </c>
      <c r="D108" s="35">
        <v>0</v>
      </c>
      <c r="E108" s="36">
        <v>0</v>
      </c>
      <c r="F108" s="36">
        <v>0</v>
      </c>
      <c r="G108" s="35">
        <v>0</v>
      </c>
      <c r="H108" s="36">
        <v>0</v>
      </c>
      <c r="I108" s="35">
        <v>0</v>
      </c>
      <c r="J108" s="36">
        <v>0</v>
      </c>
      <c r="K108" s="36">
        <v>0</v>
      </c>
      <c r="L108" s="35">
        <v>0</v>
      </c>
      <c r="M108" s="36">
        <v>0</v>
      </c>
      <c r="N108" s="35">
        <v>0</v>
      </c>
      <c r="O108" s="35">
        <v>0</v>
      </c>
      <c r="P108" s="35">
        <v>0</v>
      </c>
      <c r="Q108" s="36">
        <v>0</v>
      </c>
      <c r="R108" s="35">
        <v>0</v>
      </c>
      <c r="S108" s="29">
        <v>5</v>
      </c>
      <c r="T108" s="36">
        <v>0</v>
      </c>
      <c r="U108" s="35">
        <v>0</v>
      </c>
      <c r="V108" s="36">
        <v>0</v>
      </c>
      <c r="W108" s="34">
        <v>5</v>
      </c>
      <c r="X108" s="35">
        <v>0</v>
      </c>
      <c r="Y108" s="36">
        <v>0</v>
      </c>
      <c r="Z108" s="35">
        <v>0</v>
      </c>
      <c r="AA108" s="36">
        <v>0</v>
      </c>
      <c r="AB108" s="34">
        <v>2</v>
      </c>
      <c r="AC108" s="29">
        <v>1</v>
      </c>
    </row>
    <row r="109" spans="1:29" x14ac:dyDescent="0.3">
      <c r="A109" s="21" t="s">
        <v>211</v>
      </c>
      <c r="B109" s="35">
        <v>0</v>
      </c>
      <c r="C109" s="36">
        <v>0</v>
      </c>
      <c r="D109" s="35">
        <v>0</v>
      </c>
      <c r="E109" s="36">
        <v>0</v>
      </c>
      <c r="F109" s="36">
        <v>0</v>
      </c>
      <c r="G109" s="35">
        <v>0</v>
      </c>
      <c r="H109" s="36">
        <v>0</v>
      </c>
      <c r="I109" s="35">
        <v>0</v>
      </c>
      <c r="J109" s="36">
        <v>0</v>
      </c>
      <c r="K109" s="36">
        <v>0</v>
      </c>
      <c r="L109" s="35">
        <v>0</v>
      </c>
      <c r="M109" s="36">
        <v>0</v>
      </c>
      <c r="N109" s="35">
        <v>0</v>
      </c>
      <c r="O109" s="35">
        <v>0</v>
      </c>
      <c r="P109" s="35">
        <v>0</v>
      </c>
      <c r="Q109" s="36">
        <v>0</v>
      </c>
      <c r="R109" s="35">
        <v>0</v>
      </c>
      <c r="S109" s="35">
        <v>0</v>
      </c>
      <c r="T109" s="36">
        <v>0</v>
      </c>
      <c r="U109" s="35">
        <v>0</v>
      </c>
      <c r="V109" s="36">
        <v>0</v>
      </c>
      <c r="W109" s="36">
        <v>0</v>
      </c>
      <c r="X109" s="35">
        <v>0</v>
      </c>
      <c r="Y109" s="36">
        <v>0</v>
      </c>
      <c r="Z109" s="35">
        <v>0</v>
      </c>
      <c r="AA109" s="36">
        <v>0</v>
      </c>
      <c r="AB109" s="36">
        <v>0</v>
      </c>
      <c r="AC109" s="35">
        <v>0</v>
      </c>
    </row>
    <row r="110" spans="1:29" x14ac:dyDescent="0.3">
      <c r="A110" s="27" t="s">
        <v>212</v>
      </c>
      <c r="B110" s="35">
        <v>0</v>
      </c>
      <c r="C110" s="36">
        <v>0</v>
      </c>
      <c r="D110" s="35">
        <v>0</v>
      </c>
      <c r="E110" s="36">
        <v>0</v>
      </c>
      <c r="F110" s="36">
        <v>0</v>
      </c>
      <c r="G110" s="35">
        <v>0</v>
      </c>
      <c r="H110" s="36">
        <v>0</v>
      </c>
      <c r="I110" s="35">
        <v>0</v>
      </c>
      <c r="J110" s="36">
        <v>0</v>
      </c>
      <c r="K110" s="36">
        <v>0</v>
      </c>
      <c r="L110" s="29">
        <v>6</v>
      </c>
      <c r="M110" s="34">
        <v>1</v>
      </c>
      <c r="N110" s="35">
        <v>0</v>
      </c>
      <c r="O110" s="35">
        <v>0</v>
      </c>
      <c r="P110" s="35">
        <v>0</v>
      </c>
      <c r="Q110" s="36">
        <v>0</v>
      </c>
      <c r="R110" s="35">
        <v>0</v>
      </c>
      <c r="S110" s="35">
        <v>0</v>
      </c>
      <c r="T110" s="36">
        <v>0</v>
      </c>
      <c r="U110" s="35">
        <v>0</v>
      </c>
      <c r="V110" s="36">
        <v>0</v>
      </c>
      <c r="W110" s="36">
        <v>0</v>
      </c>
      <c r="X110" s="35">
        <v>0</v>
      </c>
      <c r="Y110" s="34">
        <v>1</v>
      </c>
      <c r="Z110" s="29">
        <v>7</v>
      </c>
      <c r="AA110" s="36">
        <v>0</v>
      </c>
      <c r="AB110" s="36">
        <v>0</v>
      </c>
      <c r="AC110" s="35">
        <v>0</v>
      </c>
    </row>
    <row r="111" spans="1:29" x14ac:dyDescent="0.3">
      <c r="A111" s="27" t="s">
        <v>213</v>
      </c>
      <c r="B111" s="35">
        <v>0</v>
      </c>
      <c r="C111" s="36">
        <v>0</v>
      </c>
      <c r="D111" s="35">
        <v>0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  <c r="J111" s="36">
        <v>0</v>
      </c>
      <c r="K111" s="36">
        <v>0</v>
      </c>
      <c r="L111" s="35">
        <v>0</v>
      </c>
      <c r="M111" s="36">
        <v>0</v>
      </c>
      <c r="N111" s="29">
        <v>1</v>
      </c>
      <c r="O111" s="35">
        <v>0</v>
      </c>
      <c r="P111" s="35">
        <v>0</v>
      </c>
      <c r="Q111" s="36">
        <v>0</v>
      </c>
      <c r="R111" s="35">
        <v>0</v>
      </c>
      <c r="S111" s="35">
        <v>0</v>
      </c>
      <c r="T111" s="36">
        <v>0</v>
      </c>
      <c r="U111" s="35">
        <v>0</v>
      </c>
      <c r="V111" s="34">
        <v>1</v>
      </c>
      <c r="W111" s="36">
        <v>0</v>
      </c>
      <c r="X111" s="35">
        <v>0</v>
      </c>
      <c r="Y111" s="36">
        <v>0</v>
      </c>
      <c r="Z111" s="35">
        <v>0</v>
      </c>
      <c r="AA111" s="36">
        <v>0</v>
      </c>
      <c r="AB111" s="36">
        <v>0</v>
      </c>
      <c r="AC111" s="35">
        <v>0</v>
      </c>
    </row>
    <row r="112" spans="1:29" x14ac:dyDescent="0.3">
      <c r="A112" s="21" t="s">
        <v>214</v>
      </c>
      <c r="B112" s="35">
        <v>0</v>
      </c>
      <c r="C112" s="36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35">
        <v>0</v>
      </c>
      <c r="J112" s="36">
        <v>0</v>
      </c>
      <c r="K112" s="36">
        <v>0</v>
      </c>
      <c r="L112" s="35">
        <v>0</v>
      </c>
      <c r="M112" s="36">
        <v>0</v>
      </c>
      <c r="N112" s="35">
        <v>0</v>
      </c>
      <c r="O112" s="35">
        <v>0</v>
      </c>
      <c r="P112" s="35">
        <v>0</v>
      </c>
      <c r="Q112" s="36">
        <v>0</v>
      </c>
      <c r="R112" s="35">
        <v>0</v>
      </c>
      <c r="S112" s="35">
        <v>0</v>
      </c>
      <c r="T112" s="36">
        <v>0</v>
      </c>
      <c r="U112" s="35">
        <v>0</v>
      </c>
      <c r="V112" s="36">
        <v>0</v>
      </c>
      <c r="W112" s="36">
        <v>0</v>
      </c>
      <c r="X112" s="35">
        <v>0</v>
      </c>
      <c r="Y112" s="36">
        <v>0</v>
      </c>
      <c r="Z112" s="35">
        <v>0</v>
      </c>
      <c r="AA112" s="36">
        <v>0</v>
      </c>
      <c r="AB112" s="36">
        <v>0</v>
      </c>
      <c r="AC112" s="35">
        <v>0</v>
      </c>
    </row>
    <row r="113" spans="1:29" x14ac:dyDescent="0.3">
      <c r="A113" s="27" t="s">
        <v>215</v>
      </c>
      <c r="B113" s="35">
        <v>0</v>
      </c>
      <c r="C113" s="36">
        <v>0</v>
      </c>
      <c r="D113" s="29">
        <v>2</v>
      </c>
      <c r="E113" s="36">
        <v>0</v>
      </c>
      <c r="F113" s="36">
        <v>0</v>
      </c>
      <c r="G113" s="35">
        <v>0</v>
      </c>
      <c r="H113" s="36">
        <v>0</v>
      </c>
      <c r="I113" s="35">
        <v>0</v>
      </c>
      <c r="J113" s="36">
        <v>0</v>
      </c>
      <c r="K113" s="36">
        <v>0</v>
      </c>
      <c r="L113" s="35">
        <v>0</v>
      </c>
      <c r="M113" s="34">
        <v>1</v>
      </c>
      <c r="N113" s="29">
        <v>1</v>
      </c>
      <c r="O113" s="35">
        <v>0</v>
      </c>
      <c r="P113" s="35">
        <v>0</v>
      </c>
      <c r="Q113" s="36">
        <v>0</v>
      </c>
      <c r="R113" s="35">
        <v>0</v>
      </c>
      <c r="S113" s="35">
        <v>0</v>
      </c>
      <c r="T113" s="36">
        <v>0</v>
      </c>
      <c r="U113" s="35">
        <v>0</v>
      </c>
      <c r="V113" s="36">
        <v>0</v>
      </c>
      <c r="W113" s="36">
        <v>0</v>
      </c>
      <c r="X113" s="35">
        <v>0</v>
      </c>
      <c r="Y113" s="36">
        <v>0</v>
      </c>
      <c r="Z113" s="35">
        <v>0</v>
      </c>
      <c r="AA113" s="36">
        <v>0</v>
      </c>
      <c r="AB113" s="36">
        <v>0</v>
      </c>
      <c r="AC113" s="35">
        <v>0</v>
      </c>
    </row>
    <row r="114" spans="1:29" x14ac:dyDescent="0.3">
      <c r="A114" s="21" t="s">
        <v>216</v>
      </c>
      <c r="B114" s="35">
        <v>0</v>
      </c>
      <c r="C114" s="34">
        <v>1</v>
      </c>
      <c r="D114" s="29">
        <v>1</v>
      </c>
      <c r="E114" s="36">
        <v>0</v>
      </c>
      <c r="F114" s="36">
        <v>0</v>
      </c>
      <c r="G114" s="35">
        <v>0</v>
      </c>
      <c r="H114" s="34">
        <v>2</v>
      </c>
      <c r="I114" s="35">
        <v>0</v>
      </c>
      <c r="J114" s="34">
        <v>1</v>
      </c>
      <c r="K114" s="36">
        <v>0</v>
      </c>
      <c r="L114" s="29">
        <v>11</v>
      </c>
      <c r="M114" s="34">
        <v>6</v>
      </c>
      <c r="N114" s="29">
        <v>6</v>
      </c>
      <c r="O114" s="35">
        <v>0</v>
      </c>
      <c r="P114" s="29">
        <v>2</v>
      </c>
      <c r="Q114" s="36">
        <v>0</v>
      </c>
      <c r="R114" s="29">
        <v>2</v>
      </c>
      <c r="S114" s="35">
        <v>0</v>
      </c>
      <c r="T114" s="34">
        <v>1</v>
      </c>
      <c r="U114" s="29">
        <v>1</v>
      </c>
      <c r="V114" s="36">
        <v>0</v>
      </c>
      <c r="W114" s="36">
        <v>0</v>
      </c>
      <c r="X114" s="35">
        <v>0</v>
      </c>
      <c r="Y114" s="36">
        <v>0</v>
      </c>
      <c r="Z114" s="35">
        <v>0</v>
      </c>
      <c r="AA114" s="36">
        <v>0</v>
      </c>
      <c r="AB114" s="36">
        <v>0</v>
      </c>
      <c r="AC114" s="35">
        <v>0</v>
      </c>
    </row>
    <row r="115" spans="1:29" x14ac:dyDescent="0.3">
      <c r="A115" s="27" t="s">
        <v>217</v>
      </c>
      <c r="B115" s="35">
        <v>0</v>
      </c>
      <c r="C115" s="36">
        <v>0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35">
        <v>0</v>
      </c>
      <c r="J115" s="36">
        <v>0</v>
      </c>
      <c r="K115" s="36">
        <v>0</v>
      </c>
      <c r="L115" s="35">
        <v>0</v>
      </c>
      <c r="M115" s="36">
        <v>0</v>
      </c>
      <c r="N115" s="35">
        <v>0</v>
      </c>
      <c r="O115" s="35">
        <v>0</v>
      </c>
      <c r="P115" s="35">
        <v>0</v>
      </c>
      <c r="Q115" s="36">
        <v>0</v>
      </c>
      <c r="R115" s="35">
        <v>0</v>
      </c>
      <c r="S115" s="35">
        <v>0</v>
      </c>
      <c r="T115" s="36">
        <v>0</v>
      </c>
      <c r="U115" s="35">
        <v>0</v>
      </c>
      <c r="V115" s="36">
        <v>0</v>
      </c>
      <c r="W115" s="36">
        <v>0</v>
      </c>
      <c r="X115" s="35">
        <v>0</v>
      </c>
      <c r="Y115" s="36">
        <v>0</v>
      </c>
      <c r="Z115" s="35">
        <v>0</v>
      </c>
      <c r="AA115" s="36">
        <v>0</v>
      </c>
      <c r="AB115" s="36">
        <v>0</v>
      </c>
      <c r="AC115" s="35">
        <v>0</v>
      </c>
    </row>
    <row r="116" spans="1:29" x14ac:dyDescent="0.3">
      <c r="A116" s="27" t="s">
        <v>218</v>
      </c>
      <c r="B116" s="35">
        <v>0</v>
      </c>
      <c r="C116" s="36">
        <v>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35">
        <v>0</v>
      </c>
      <c r="J116" s="36">
        <v>0</v>
      </c>
      <c r="K116" s="36">
        <v>0</v>
      </c>
      <c r="L116" s="35">
        <v>0</v>
      </c>
      <c r="M116" s="36">
        <v>0</v>
      </c>
      <c r="N116" s="35">
        <v>0</v>
      </c>
      <c r="O116" s="35">
        <v>0</v>
      </c>
      <c r="P116" s="35">
        <v>0</v>
      </c>
      <c r="Q116" s="36">
        <v>0</v>
      </c>
      <c r="R116" s="35">
        <v>0</v>
      </c>
      <c r="S116" s="35">
        <v>0</v>
      </c>
      <c r="T116" s="34">
        <v>2</v>
      </c>
      <c r="U116" s="29">
        <v>1</v>
      </c>
      <c r="V116" s="36">
        <v>0</v>
      </c>
      <c r="W116" s="36">
        <v>0</v>
      </c>
      <c r="X116" s="35">
        <v>0</v>
      </c>
      <c r="Y116" s="34">
        <v>2</v>
      </c>
      <c r="Z116" s="29">
        <v>1</v>
      </c>
      <c r="AA116" s="36">
        <v>0</v>
      </c>
      <c r="AB116" s="36">
        <v>0</v>
      </c>
      <c r="AC116" s="35">
        <v>0</v>
      </c>
    </row>
    <row r="117" spans="1:29" x14ac:dyDescent="0.3">
      <c r="A117" s="27" t="s">
        <v>219</v>
      </c>
      <c r="B117" s="35">
        <v>0</v>
      </c>
      <c r="C117" s="36">
        <v>0</v>
      </c>
      <c r="D117" s="35">
        <v>0</v>
      </c>
      <c r="E117" s="36">
        <v>0</v>
      </c>
      <c r="F117" s="36">
        <v>0</v>
      </c>
      <c r="G117" s="35">
        <v>0</v>
      </c>
      <c r="H117" s="36">
        <v>0</v>
      </c>
      <c r="I117" s="35">
        <v>0</v>
      </c>
      <c r="J117" s="36">
        <v>0</v>
      </c>
      <c r="K117" s="36">
        <v>0</v>
      </c>
      <c r="L117" s="29">
        <v>4</v>
      </c>
      <c r="M117" s="36">
        <v>0</v>
      </c>
      <c r="N117" s="29">
        <v>24</v>
      </c>
      <c r="O117" s="29">
        <v>10</v>
      </c>
      <c r="P117" s="35">
        <v>0</v>
      </c>
      <c r="Q117" s="36">
        <v>0</v>
      </c>
      <c r="R117" s="35">
        <v>0</v>
      </c>
      <c r="S117" s="35">
        <v>0</v>
      </c>
      <c r="T117" s="36">
        <v>0</v>
      </c>
      <c r="U117" s="29">
        <v>2</v>
      </c>
      <c r="V117" s="36">
        <v>0</v>
      </c>
      <c r="W117" s="36">
        <v>0</v>
      </c>
      <c r="X117" s="35">
        <v>0</v>
      </c>
      <c r="Y117" s="36">
        <v>0</v>
      </c>
      <c r="Z117" s="29">
        <v>1</v>
      </c>
      <c r="AA117" s="36">
        <v>0</v>
      </c>
      <c r="AB117" s="34">
        <v>1</v>
      </c>
      <c r="AC117" s="29">
        <v>1</v>
      </c>
    </row>
    <row r="118" spans="1:29" x14ac:dyDescent="0.3">
      <c r="A118" s="27" t="s">
        <v>220</v>
      </c>
      <c r="B118" s="29">
        <v>1</v>
      </c>
      <c r="C118" s="34">
        <v>2</v>
      </c>
      <c r="D118" s="29">
        <v>2</v>
      </c>
      <c r="E118" s="34">
        <v>3</v>
      </c>
      <c r="F118" s="34">
        <v>2</v>
      </c>
      <c r="G118" s="29">
        <v>8</v>
      </c>
      <c r="H118" s="34">
        <v>5</v>
      </c>
      <c r="I118" s="35">
        <v>0</v>
      </c>
      <c r="J118" s="34">
        <v>11</v>
      </c>
      <c r="K118" s="34">
        <v>7</v>
      </c>
      <c r="L118" s="29">
        <v>7</v>
      </c>
      <c r="M118" s="34">
        <v>3</v>
      </c>
      <c r="N118" s="29">
        <v>10</v>
      </c>
      <c r="O118" s="29">
        <v>1</v>
      </c>
      <c r="P118" s="35">
        <v>0</v>
      </c>
      <c r="Q118" s="34">
        <v>1</v>
      </c>
      <c r="R118" s="35">
        <v>0</v>
      </c>
      <c r="S118" s="29">
        <v>10</v>
      </c>
      <c r="T118" s="34">
        <v>3</v>
      </c>
      <c r="U118" s="29">
        <v>9</v>
      </c>
      <c r="V118" s="36">
        <v>0</v>
      </c>
      <c r="W118" s="34">
        <v>2</v>
      </c>
      <c r="X118" s="35">
        <v>0</v>
      </c>
      <c r="Y118" s="36">
        <v>0</v>
      </c>
      <c r="Z118" s="29">
        <v>22</v>
      </c>
      <c r="AA118" s="34">
        <v>6</v>
      </c>
      <c r="AB118" s="34">
        <v>2</v>
      </c>
      <c r="AC118" s="29">
        <v>3</v>
      </c>
    </row>
    <row r="119" spans="1:29" x14ac:dyDescent="0.3">
      <c r="A119" s="21" t="s">
        <v>221</v>
      </c>
      <c r="B119" s="35">
        <v>0</v>
      </c>
      <c r="C119" s="34">
        <v>1</v>
      </c>
      <c r="D119" s="35">
        <v>0</v>
      </c>
      <c r="E119" s="36">
        <v>0</v>
      </c>
      <c r="F119" s="36">
        <v>0</v>
      </c>
      <c r="G119" s="35">
        <v>0</v>
      </c>
      <c r="H119" s="36">
        <v>0</v>
      </c>
      <c r="I119" s="29">
        <v>1</v>
      </c>
      <c r="J119" s="36">
        <v>0</v>
      </c>
      <c r="K119" s="36">
        <v>0</v>
      </c>
      <c r="L119" s="29">
        <v>1</v>
      </c>
      <c r="M119" s="36">
        <v>0</v>
      </c>
      <c r="N119" s="35">
        <v>0</v>
      </c>
      <c r="O119" s="29">
        <v>1</v>
      </c>
      <c r="P119" s="35">
        <v>0</v>
      </c>
      <c r="Q119" s="36">
        <v>0</v>
      </c>
      <c r="R119" s="35">
        <v>0</v>
      </c>
      <c r="S119" s="35">
        <v>0</v>
      </c>
      <c r="T119" s="36">
        <v>0</v>
      </c>
      <c r="U119" s="35">
        <v>0</v>
      </c>
      <c r="V119" s="36">
        <v>0</v>
      </c>
      <c r="W119" s="36">
        <v>0</v>
      </c>
      <c r="X119" s="35">
        <v>0</v>
      </c>
      <c r="Y119" s="36">
        <v>0</v>
      </c>
      <c r="Z119" s="35">
        <v>0</v>
      </c>
      <c r="AA119" s="36">
        <v>0</v>
      </c>
      <c r="AB119" s="36">
        <v>0</v>
      </c>
      <c r="AC119" s="35">
        <v>0</v>
      </c>
    </row>
    <row r="120" spans="1:29" x14ac:dyDescent="0.3">
      <c r="A120" s="27" t="s">
        <v>222</v>
      </c>
      <c r="B120" s="35">
        <v>0</v>
      </c>
      <c r="C120" s="34">
        <v>1</v>
      </c>
      <c r="D120" s="29">
        <v>1</v>
      </c>
      <c r="E120" s="36">
        <v>0</v>
      </c>
      <c r="F120" s="36">
        <v>0</v>
      </c>
      <c r="G120" s="35">
        <v>0</v>
      </c>
      <c r="H120" s="34">
        <v>2</v>
      </c>
      <c r="I120" s="35">
        <v>0</v>
      </c>
      <c r="J120" s="36">
        <v>0</v>
      </c>
      <c r="K120" s="36">
        <v>0</v>
      </c>
      <c r="L120" s="29">
        <v>2</v>
      </c>
      <c r="M120" s="36">
        <v>0</v>
      </c>
      <c r="N120" s="35">
        <v>0</v>
      </c>
      <c r="O120" s="35">
        <v>0</v>
      </c>
      <c r="P120" s="35">
        <v>0</v>
      </c>
      <c r="Q120" s="36">
        <v>0</v>
      </c>
      <c r="R120" s="35">
        <v>0</v>
      </c>
      <c r="S120" s="35">
        <v>0</v>
      </c>
      <c r="T120" s="36">
        <v>0</v>
      </c>
      <c r="U120" s="35">
        <v>0</v>
      </c>
      <c r="V120" s="36">
        <v>0</v>
      </c>
      <c r="W120" s="36">
        <v>0</v>
      </c>
      <c r="X120" s="35">
        <v>0</v>
      </c>
      <c r="Y120" s="36">
        <v>0</v>
      </c>
      <c r="Z120" s="35">
        <v>0</v>
      </c>
      <c r="AA120" s="36">
        <v>0</v>
      </c>
      <c r="AB120" s="36">
        <v>0</v>
      </c>
      <c r="AC120" s="35">
        <v>0</v>
      </c>
    </row>
    <row r="121" spans="1:29" x14ac:dyDescent="0.3">
      <c r="A121" s="27" t="s">
        <v>223</v>
      </c>
      <c r="B121" s="35">
        <v>0</v>
      </c>
      <c r="C121" s="36">
        <v>0</v>
      </c>
      <c r="D121" s="35">
        <v>0</v>
      </c>
      <c r="E121" s="34">
        <v>5</v>
      </c>
      <c r="F121" s="36">
        <v>0</v>
      </c>
      <c r="G121" s="35">
        <v>0</v>
      </c>
      <c r="H121" s="36">
        <v>0</v>
      </c>
      <c r="I121" s="35">
        <v>0</v>
      </c>
      <c r="J121" s="34">
        <v>1</v>
      </c>
      <c r="K121" s="34">
        <v>2</v>
      </c>
      <c r="L121" s="35">
        <v>0</v>
      </c>
      <c r="M121" s="34">
        <v>1</v>
      </c>
      <c r="N121" s="29">
        <v>4</v>
      </c>
      <c r="O121" s="29">
        <v>2</v>
      </c>
      <c r="P121" s="35">
        <v>0</v>
      </c>
      <c r="Q121" s="36">
        <v>0</v>
      </c>
      <c r="R121" s="29">
        <v>2</v>
      </c>
      <c r="S121" s="35">
        <v>0</v>
      </c>
      <c r="T121" s="36">
        <v>0</v>
      </c>
      <c r="U121" s="29">
        <v>12</v>
      </c>
      <c r="V121" s="34">
        <v>1</v>
      </c>
      <c r="W121" s="36">
        <v>0</v>
      </c>
      <c r="X121" s="29">
        <v>1</v>
      </c>
      <c r="Y121" s="36">
        <v>0</v>
      </c>
      <c r="Z121" s="29">
        <v>1</v>
      </c>
      <c r="AA121" s="36">
        <v>0</v>
      </c>
      <c r="AB121" s="34">
        <v>1</v>
      </c>
      <c r="AC121" s="29">
        <v>8</v>
      </c>
    </row>
    <row r="122" spans="1:29" x14ac:dyDescent="0.3">
      <c r="A122" s="27" t="s">
        <v>224</v>
      </c>
      <c r="B122" s="35">
        <v>0</v>
      </c>
      <c r="C122" s="36">
        <v>0</v>
      </c>
      <c r="D122" s="35">
        <v>0</v>
      </c>
      <c r="E122" s="36">
        <v>0</v>
      </c>
      <c r="F122" s="36">
        <v>0</v>
      </c>
      <c r="G122" s="35">
        <v>0</v>
      </c>
      <c r="H122" s="36">
        <v>0</v>
      </c>
      <c r="I122" s="29">
        <v>6</v>
      </c>
      <c r="J122" s="36">
        <v>0</v>
      </c>
      <c r="K122" s="36">
        <v>0</v>
      </c>
      <c r="L122" s="35">
        <v>0</v>
      </c>
      <c r="M122" s="36">
        <v>0</v>
      </c>
      <c r="N122" s="35">
        <v>0</v>
      </c>
      <c r="O122" s="35">
        <v>0</v>
      </c>
      <c r="P122" s="35">
        <v>0</v>
      </c>
      <c r="Q122" s="36">
        <v>0</v>
      </c>
      <c r="R122" s="35">
        <v>0</v>
      </c>
      <c r="S122" s="35">
        <v>0</v>
      </c>
      <c r="T122" s="36">
        <v>0</v>
      </c>
      <c r="U122" s="35">
        <v>0</v>
      </c>
      <c r="V122" s="36">
        <v>0</v>
      </c>
      <c r="W122" s="36">
        <v>0</v>
      </c>
      <c r="X122" s="35">
        <v>0</v>
      </c>
      <c r="Y122" s="36">
        <v>0</v>
      </c>
      <c r="Z122" s="35">
        <v>0</v>
      </c>
      <c r="AA122" s="36">
        <v>0</v>
      </c>
      <c r="AB122" s="36">
        <v>0</v>
      </c>
      <c r="AC122" s="35">
        <v>0</v>
      </c>
    </row>
    <row r="123" spans="1:29" x14ac:dyDescent="0.3">
      <c r="A123" s="27" t="s">
        <v>225</v>
      </c>
      <c r="B123" s="35">
        <v>0</v>
      </c>
      <c r="C123" s="36">
        <v>0</v>
      </c>
      <c r="D123" s="35">
        <v>0</v>
      </c>
      <c r="E123" s="34">
        <v>3</v>
      </c>
      <c r="F123" s="36">
        <v>0</v>
      </c>
      <c r="G123" s="35">
        <v>0</v>
      </c>
      <c r="H123" s="34">
        <v>2</v>
      </c>
      <c r="I123" s="35">
        <v>0</v>
      </c>
      <c r="J123" s="34">
        <v>4</v>
      </c>
      <c r="K123" s="36">
        <v>0</v>
      </c>
      <c r="L123" s="29">
        <v>8</v>
      </c>
      <c r="M123" s="34">
        <v>1</v>
      </c>
      <c r="N123" s="29">
        <v>1</v>
      </c>
      <c r="O123" s="35">
        <v>0</v>
      </c>
      <c r="P123" s="35">
        <v>0</v>
      </c>
      <c r="Q123" s="36">
        <v>0</v>
      </c>
      <c r="R123" s="35">
        <v>0</v>
      </c>
      <c r="S123" s="35">
        <v>0</v>
      </c>
      <c r="T123" s="36">
        <v>0</v>
      </c>
      <c r="U123" s="35">
        <v>0</v>
      </c>
      <c r="V123" s="36">
        <v>0</v>
      </c>
      <c r="W123" s="36">
        <v>0</v>
      </c>
      <c r="X123" s="35">
        <v>0</v>
      </c>
      <c r="Y123" s="36">
        <v>0</v>
      </c>
      <c r="Z123" s="35">
        <v>0</v>
      </c>
      <c r="AA123" s="36">
        <v>0</v>
      </c>
      <c r="AB123" s="36">
        <v>0</v>
      </c>
      <c r="AC123" s="29">
        <v>2</v>
      </c>
    </row>
    <row r="124" spans="1:29" x14ac:dyDescent="0.3">
      <c r="A124" s="27" t="s">
        <v>226</v>
      </c>
      <c r="B124" s="35">
        <v>0</v>
      </c>
      <c r="C124" s="36">
        <v>0</v>
      </c>
      <c r="D124" s="35">
        <v>0</v>
      </c>
      <c r="E124" s="36">
        <v>0</v>
      </c>
      <c r="F124" s="36">
        <v>0</v>
      </c>
      <c r="G124" s="35">
        <v>0</v>
      </c>
      <c r="H124" s="36">
        <v>0</v>
      </c>
      <c r="I124" s="35">
        <v>0</v>
      </c>
      <c r="J124" s="36">
        <v>0</v>
      </c>
      <c r="K124" s="36">
        <v>0</v>
      </c>
      <c r="L124" s="35">
        <v>0</v>
      </c>
      <c r="M124" s="36">
        <v>0</v>
      </c>
      <c r="N124" s="35">
        <v>0</v>
      </c>
      <c r="O124" s="35">
        <v>0</v>
      </c>
      <c r="P124" s="35">
        <v>0</v>
      </c>
      <c r="Q124" s="36">
        <v>0</v>
      </c>
      <c r="R124" s="35">
        <v>0</v>
      </c>
      <c r="S124" s="35">
        <v>0</v>
      </c>
      <c r="T124" s="36">
        <v>0</v>
      </c>
      <c r="U124" s="35">
        <v>0</v>
      </c>
      <c r="V124" s="36">
        <v>0</v>
      </c>
      <c r="W124" s="36">
        <v>0</v>
      </c>
      <c r="X124" s="29">
        <v>1</v>
      </c>
      <c r="Y124" s="36">
        <v>0</v>
      </c>
      <c r="Z124" s="35">
        <v>0</v>
      </c>
      <c r="AA124" s="36">
        <v>0</v>
      </c>
      <c r="AB124" s="36">
        <v>0</v>
      </c>
      <c r="AC124" s="35">
        <v>0</v>
      </c>
    </row>
    <row r="125" spans="1:29" x14ac:dyDescent="0.3">
      <c r="A125" s="27" t="s">
        <v>227</v>
      </c>
      <c r="B125" s="35">
        <v>0</v>
      </c>
      <c r="C125" s="36">
        <v>0</v>
      </c>
      <c r="D125" s="35">
        <v>0</v>
      </c>
      <c r="E125" s="36">
        <v>0</v>
      </c>
      <c r="F125" s="36">
        <v>0</v>
      </c>
      <c r="G125" s="35">
        <v>0</v>
      </c>
      <c r="H125" s="36">
        <v>0</v>
      </c>
      <c r="I125" s="35">
        <v>0</v>
      </c>
      <c r="J125" s="36">
        <v>0</v>
      </c>
      <c r="K125" s="36">
        <v>0</v>
      </c>
      <c r="L125" s="35">
        <v>0</v>
      </c>
      <c r="M125" s="36">
        <v>0</v>
      </c>
      <c r="N125" s="35">
        <v>0</v>
      </c>
      <c r="O125" s="35">
        <v>0</v>
      </c>
      <c r="P125" s="35">
        <v>0</v>
      </c>
      <c r="Q125" s="36">
        <v>0</v>
      </c>
      <c r="R125" s="35">
        <v>0</v>
      </c>
      <c r="S125" s="35">
        <v>0</v>
      </c>
      <c r="T125" s="36">
        <v>0</v>
      </c>
      <c r="U125" s="35">
        <v>0</v>
      </c>
      <c r="V125" s="36">
        <v>0</v>
      </c>
      <c r="W125" s="36">
        <v>0</v>
      </c>
      <c r="X125" s="35">
        <v>0</v>
      </c>
      <c r="Y125" s="36">
        <v>0</v>
      </c>
      <c r="Z125" s="35">
        <v>0</v>
      </c>
      <c r="AA125" s="36">
        <v>0</v>
      </c>
      <c r="AB125" s="36">
        <v>0</v>
      </c>
      <c r="AC125" s="35">
        <v>0</v>
      </c>
    </row>
    <row r="126" spans="1:29" x14ac:dyDescent="0.3">
      <c r="A126" s="21" t="s">
        <v>228</v>
      </c>
      <c r="B126" s="35">
        <v>0</v>
      </c>
      <c r="C126" s="36">
        <v>0</v>
      </c>
      <c r="D126" s="35">
        <v>0</v>
      </c>
      <c r="E126" s="36">
        <v>0</v>
      </c>
      <c r="F126" s="36">
        <v>0</v>
      </c>
      <c r="G126" s="35">
        <v>0</v>
      </c>
      <c r="H126" s="36">
        <v>0</v>
      </c>
      <c r="I126" s="35">
        <v>0</v>
      </c>
      <c r="J126" s="36">
        <v>0</v>
      </c>
      <c r="K126" s="36">
        <v>0</v>
      </c>
      <c r="L126" s="35">
        <v>0</v>
      </c>
      <c r="M126" s="36">
        <v>0</v>
      </c>
      <c r="N126" s="35">
        <v>0</v>
      </c>
      <c r="O126" s="35">
        <v>0</v>
      </c>
      <c r="P126" s="35">
        <v>0</v>
      </c>
      <c r="Q126" s="36">
        <v>0</v>
      </c>
      <c r="R126" s="35">
        <v>0</v>
      </c>
      <c r="S126" s="35">
        <v>0</v>
      </c>
      <c r="T126" s="36">
        <v>0</v>
      </c>
      <c r="U126" s="35">
        <v>0</v>
      </c>
      <c r="V126" s="36">
        <v>0</v>
      </c>
      <c r="W126" s="36">
        <v>0</v>
      </c>
      <c r="X126" s="35">
        <v>0</v>
      </c>
      <c r="Y126" s="36">
        <v>0</v>
      </c>
      <c r="Z126" s="35">
        <v>0</v>
      </c>
      <c r="AA126" s="36">
        <v>0</v>
      </c>
      <c r="AB126" s="36">
        <v>0</v>
      </c>
      <c r="AC126" s="35">
        <v>0</v>
      </c>
    </row>
    <row r="127" spans="1:29" x14ac:dyDescent="0.3">
      <c r="A127" s="27" t="s">
        <v>229</v>
      </c>
      <c r="B127" s="35">
        <v>0</v>
      </c>
      <c r="C127" s="36">
        <v>0</v>
      </c>
      <c r="D127" s="35">
        <v>0</v>
      </c>
      <c r="E127" s="34">
        <v>1</v>
      </c>
      <c r="F127" s="34">
        <v>2</v>
      </c>
      <c r="G127" s="35">
        <v>0</v>
      </c>
      <c r="H127" s="36">
        <v>0</v>
      </c>
      <c r="I127" s="35">
        <v>0</v>
      </c>
      <c r="J127" s="36">
        <v>0</v>
      </c>
      <c r="K127" s="36">
        <v>0</v>
      </c>
      <c r="L127" s="35">
        <v>0</v>
      </c>
      <c r="M127" s="34">
        <v>1</v>
      </c>
      <c r="N127" s="29">
        <v>3</v>
      </c>
      <c r="O127" s="29">
        <v>1</v>
      </c>
      <c r="P127" s="29">
        <v>6</v>
      </c>
      <c r="Q127" s="36">
        <v>0</v>
      </c>
      <c r="R127" s="35">
        <v>0</v>
      </c>
      <c r="S127" s="29">
        <v>11</v>
      </c>
      <c r="T127" s="34">
        <v>1</v>
      </c>
      <c r="U127" s="29">
        <v>7</v>
      </c>
      <c r="V127" s="34">
        <v>5</v>
      </c>
      <c r="W127" s="34">
        <v>14</v>
      </c>
      <c r="X127" s="29">
        <v>2</v>
      </c>
      <c r="Y127" s="34">
        <v>2</v>
      </c>
      <c r="Z127" s="29">
        <v>25</v>
      </c>
      <c r="AA127" s="34">
        <v>5</v>
      </c>
      <c r="AB127" s="34">
        <v>9</v>
      </c>
      <c r="AC127" s="29">
        <v>2</v>
      </c>
    </row>
    <row r="128" spans="1:29" x14ac:dyDescent="0.3">
      <c r="A128" s="21" t="s">
        <v>230</v>
      </c>
      <c r="B128" s="35">
        <v>0</v>
      </c>
      <c r="C128" s="36">
        <v>0</v>
      </c>
      <c r="D128" s="35">
        <v>0</v>
      </c>
      <c r="E128" s="36">
        <v>0</v>
      </c>
      <c r="F128" s="36">
        <v>0</v>
      </c>
      <c r="G128" s="35">
        <v>0</v>
      </c>
      <c r="H128" s="36">
        <v>0</v>
      </c>
      <c r="I128" s="35">
        <v>0</v>
      </c>
      <c r="J128" s="36">
        <v>0</v>
      </c>
      <c r="K128" s="36">
        <v>0</v>
      </c>
      <c r="L128" s="35">
        <v>0</v>
      </c>
      <c r="M128" s="36">
        <v>0</v>
      </c>
      <c r="N128" s="35">
        <v>0</v>
      </c>
      <c r="O128" s="35">
        <v>0</v>
      </c>
      <c r="P128" s="35">
        <v>0</v>
      </c>
      <c r="Q128" s="36">
        <v>0</v>
      </c>
      <c r="R128" s="35">
        <v>0</v>
      </c>
      <c r="S128" s="35">
        <v>0</v>
      </c>
      <c r="T128" s="36">
        <v>0</v>
      </c>
      <c r="U128" s="35">
        <v>0</v>
      </c>
      <c r="V128" s="36">
        <v>0</v>
      </c>
      <c r="W128" s="36">
        <v>0</v>
      </c>
      <c r="X128" s="35">
        <v>0</v>
      </c>
      <c r="Y128" s="36">
        <v>0</v>
      </c>
      <c r="Z128" s="35">
        <v>0</v>
      </c>
      <c r="AA128" s="36">
        <v>0</v>
      </c>
      <c r="AB128" s="36">
        <v>0</v>
      </c>
      <c r="AC128" s="35">
        <v>0</v>
      </c>
    </row>
    <row r="129" spans="1:29" x14ac:dyDescent="0.3">
      <c r="A129" s="27" t="s">
        <v>231</v>
      </c>
      <c r="B129" s="35">
        <v>0</v>
      </c>
      <c r="C129" s="36">
        <v>0</v>
      </c>
      <c r="D129" s="35">
        <v>0</v>
      </c>
      <c r="E129" s="36">
        <v>0</v>
      </c>
      <c r="F129" s="36">
        <v>0</v>
      </c>
      <c r="G129" s="35">
        <v>0</v>
      </c>
      <c r="H129" s="36">
        <v>0</v>
      </c>
      <c r="I129" s="35">
        <v>0</v>
      </c>
      <c r="J129" s="36">
        <v>0</v>
      </c>
      <c r="K129" s="36">
        <v>0</v>
      </c>
      <c r="L129" s="35">
        <v>0</v>
      </c>
      <c r="M129" s="36">
        <v>0</v>
      </c>
      <c r="N129" s="35">
        <v>0</v>
      </c>
      <c r="O129" s="35">
        <v>0</v>
      </c>
      <c r="P129" s="29">
        <v>2</v>
      </c>
      <c r="Q129" s="36">
        <v>0</v>
      </c>
      <c r="R129" s="35">
        <v>0</v>
      </c>
      <c r="S129" s="35">
        <v>0</v>
      </c>
      <c r="T129" s="36">
        <v>0</v>
      </c>
      <c r="U129" s="29">
        <v>1</v>
      </c>
      <c r="V129" s="36">
        <v>0</v>
      </c>
      <c r="W129" s="34">
        <v>1</v>
      </c>
      <c r="X129" s="35">
        <v>0</v>
      </c>
      <c r="Y129" s="36">
        <v>0</v>
      </c>
      <c r="Z129" s="35">
        <v>0</v>
      </c>
      <c r="AA129" s="36">
        <v>0</v>
      </c>
      <c r="AB129" s="34">
        <v>2</v>
      </c>
      <c r="AC129" s="35">
        <v>0</v>
      </c>
    </row>
    <row r="130" spans="1:29" x14ac:dyDescent="0.3">
      <c r="A130" s="27" t="s">
        <v>232</v>
      </c>
      <c r="B130" s="35">
        <v>0</v>
      </c>
      <c r="C130" s="36">
        <v>0</v>
      </c>
      <c r="D130" s="35">
        <v>0</v>
      </c>
      <c r="E130" s="36">
        <v>0</v>
      </c>
      <c r="F130" s="34">
        <v>1</v>
      </c>
      <c r="G130" s="35">
        <v>0</v>
      </c>
      <c r="H130" s="36">
        <v>0</v>
      </c>
      <c r="I130" s="35">
        <v>0</v>
      </c>
      <c r="J130" s="36">
        <v>0</v>
      </c>
      <c r="K130" s="36">
        <v>0</v>
      </c>
      <c r="L130" s="35">
        <v>0</v>
      </c>
      <c r="M130" s="36">
        <v>0</v>
      </c>
      <c r="N130" s="35">
        <v>0</v>
      </c>
      <c r="O130" s="35">
        <v>0</v>
      </c>
      <c r="P130" s="35">
        <v>0</v>
      </c>
      <c r="Q130" s="36">
        <v>0</v>
      </c>
      <c r="R130" s="35">
        <v>0</v>
      </c>
      <c r="S130" s="35">
        <v>0</v>
      </c>
      <c r="T130" s="36">
        <v>0</v>
      </c>
      <c r="U130" s="35">
        <v>0</v>
      </c>
      <c r="V130" s="36">
        <v>0</v>
      </c>
      <c r="W130" s="36">
        <v>0</v>
      </c>
      <c r="X130" s="35">
        <v>0</v>
      </c>
      <c r="Y130" s="36">
        <v>0</v>
      </c>
      <c r="Z130" s="35">
        <v>0</v>
      </c>
      <c r="AA130" s="36">
        <v>0</v>
      </c>
      <c r="AB130" s="36">
        <v>0</v>
      </c>
      <c r="AC130" s="35">
        <v>0</v>
      </c>
    </row>
    <row r="131" spans="1:29" x14ac:dyDescent="0.3">
      <c r="A131" s="27" t="s">
        <v>233</v>
      </c>
      <c r="B131" s="35">
        <v>0</v>
      </c>
      <c r="C131" s="36">
        <v>0</v>
      </c>
      <c r="D131" s="35">
        <v>0</v>
      </c>
      <c r="E131" s="36">
        <v>0</v>
      </c>
      <c r="F131" s="36">
        <v>0</v>
      </c>
      <c r="G131" s="35">
        <v>0</v>
      </c>
      <c r="H131" s="36">
        <v>0</v>
      </c>
      <c r="I131" s="35">
        <v>0</v>
      </c>
      <c r="J131" s="36">
        <v>0</v>
      </c>
      <c r="K131" s="36">
        <v>0</v>
      </c>
      <c r="L131" s="35">
        <v>0</v>
      </c>
      <c r="M131" s="34">
        <v>1</v>
      </c>
      <c r="N131" s="29">
        <v>1</v>
      </c>
      <c r="O131" s="35">
        <v>0</v>
      </c>
      <c r="P131" s="35">
        <v>0</v>
      </c>
      <c r="Q131" s="34">
        <v>1</v>
      </c>
      <c r="R131" s="35">
        <v>0</v>
      </c>
      <c r="S131" s="29">
        <v>3</v>
      </c>
      <c r="T131" s="36">
        <v>0</v>
      </c>
      <c r="U131" s="35">
        <v>0</v>
      </c>
      <c r="V131" s="34">
        <v>1</v>
      </c>
      <c r="W131" s="36">
        <v>0</v>
      </c>
      <c r="X131" s="35">
        <v>0</v>
      </c>
      <c r="Y131" s="34">
        <v>1</v>
      </c>
      <c r="Z131" s="35">
        <v>0</v>
      </c>
      <c r="AA131" s="36">
        <v>0</v>
      </c>
      <c r="AB131" s="34">
        <v>1</v>
      </c>
      <c r="AC131" s="35">
        <v>0</v>
      </c>
    </row>
    <row r="132" spans="1:29" x14ac:dyDescent="0.3">
      <c r="A132" s="21" t="s">
        <v>234</v>
      </c>
      <c r="B132" s="35">
        <v>0</v>
      </c>
      <c r="C132" s="36">
        <v>0</v>
      </c>
      <c r="D132" s="35">
        <v>0</v>
      </c>
      <c r="E132" s="36">
        <v>0</v>
      </c>
      <c r="F132" s="36">
        <v>0</v>
      </c>
      <c r="G132" s="35">
        <v>0</v>
      </c>
      <c r="H132" s="36">
        <v>0</v>
      </c>
      <c r="I132" s="35">
        <v>0</v>
      </c>
      <c r="J132" s="36">
        <v>0</v>
      </c>
      <c r="K132" s="36">
        <v>0</v>
      </c>
      <c r="L132" s="35">
        <v>0</v>
      </c>
      <c r="M132" s="36">
        <v>0</v>
      </c>
      <c r="N132" s="35">
        <v>0</v>
      </c>
      <c r="O132" s="35">
        <v>0</v>
      </c>
      <c r="P132" s="35">
        <v>0</v>
      </c>
      <c r="Q132" s="36">
        <v>0</v>
      </c>
      <c r="R132" s="35">
        <v>0</v>
      </c>
      <c r="S132" s="35">
        <v>0</v>
      </c>
      <c r="T132" s="34">
        <v>3</v>
      </c>
      <c r="U132" s="35">
        <v>0</v>
      </c>
      <c r="V132" s="36">
        <v>0</v>
      </c>
      <c r="W132" s="36">
        <v>0</v>
      </c>
      <c r="X132" s="35">
        <v>0</v>
      </c>
      <c r="Y132" s="36">
        <v>0</v>
      </c>
      <c r="Z132" s="35">
        <v>0</v>
      </c>
      <c r="AA132" s="36">
        <v>0</v>
      </c>
      <c r="AB132" s="36">
        <v>0</v>
      </c>
      <c r="AC132" s="35">
        <v>0</v>
      </c>
    </row>
    <row r="133" spans="1:29" x14ac:dyDescent="0.3">
      <c r="A133" s="27" t="s">
        <v>235</v>
      </c>
      <c r="B133" s="35">
        <v>0</v>
      </c>
      <c r="C133" s="36">
        <v>0</v>
      </c>
      <c r="D133" s="35">
        <v>0</v>
      </c>
      <c r="E133" s="36">
        <v>0</v>
      </c>
      <c r="F133" s="36">
        <v>0</v>
      </c>
      <c r="G133" s="35">
        <v>0</v>
      </c>
      <c r="H133" s="36">
        <v>0</v>
      </c>
      <c r="I133" s="35">
        <v>0</v>
      </c>
      <c r="J133" s="36">
        <v>0</v>
      </c>
      <c r="K133" s="36">
        <v>0</v>
      </c>
      <c r="L133" s="35">
        <v>0</v>
      </c>
      <c r="M133" s="36">
        <v>0</v>
      </c>
      <c r="N133" s="35">
        <v>0</v>
      </c>
      <c r="O133" s="35">
        <v>0</v>
      </c>
      <c r="P133" s="35">
        <v>0</v>
      </c>
      <c r="Q133" s="36">
        <v>0</v>
      </c>
      <c r="R133" s="35">
        <v>0</v>
      </c>
      <c r="S133" s="35">
        <v>0</v>
      </c>
      <c r="T133" s="36">
        <v>0</v>
      </c>
      <c r="U133" s="35">
        <v>0</v>
      </c>
      <c r="V133" s="36">
        <v>0</v>
      </c>
      <c r="W133" s="36">
        <v>0</v>
      </c>
      <c r="X133" s="35">
        <v>0</v>
      </c>
      <c r="Y133" s="36">
        <v>0</v>
      </c>
      <c r="Z133" s="35">
        <v>0</v>
      </c>
      <c r="AA133" s="36">
        <v>0</v>
      </c>
      <c r="AB133" s="36">
        <v>0</v>
      </c>
      <c r="AC133" s="35">
        <v>0</v>
      </c>
    </row>
    <row r="134" spans="1:29" x14ac:dyDescent="0.3">
      <c r="A134" s="27" t="s">
        <v>236</v>
      </c>
      <c r="B134" s="35">
        <v>0</v>
      </c>
      <c r="C134" s="36">
        <v>0</v>
      </c>
      <c r="D134" s="35">
        <v>0</v>
      </c>
      <c r="E134" s="36">
        <v>0</v>
      </c>
      <c r="F134" s="36">
        <v>0</v>
      </c>
      <c r="G134" s="35">
        <v>0</v>
      </c>
      <c r="H134" s="36">
        <v>0</v>
      </c>
      <c r="I134" s="35">
        <v>0</v>
      </c>
      <c r="J134" s="36">
        <v>0</v>
      </c>
      <c r="K134" s="36">
        <v>0</v>
      </c>
      <c r="L134" s="35">
        <v>0</v>
      </c>
      <c r="M134" s="36">
        <v>0</v>
      </c>
      <c r="N134" s="35">
        <v>0</v>
      </c>
      <c r="O134" s="35">
        <v>0</v>
      </c>
      <c r="P134" s="35">
        <v>0</v>
      </c>
      <c r="Q134" s="36">
        <v>0</v>
      </c>
      <c r="R134" s="35">
        <v>0</v>
      </c>
      <c r="S134" s="35">
        <v>0</v>
      </c>
      <c r="T134" s="36">
        <v>0</v>
      </c>
      <c r="U134" s="35">
        <v>0</v>
      </c>
      <c r="V134" s="36">
        <v>0</v>
      </c>
      <c r="W134" s="36">
        <v>0</v>
      </c>
      <c r="X134" s="35">
        <v>0</v>
      </c>
      <c r="Y134" s="36">
        <v>0</v>
      </c>
      <c r="Z134" s="35">
        <v>0</v>
      </c>
      <c r="AA134" s="36">
        <v>0</v>
      </c>
      <c r="AB134" s="36">
        <v>0</v>
      </c>
      <c r="AC134" s="35">
        <v>0</v>
      </c>
    </row>
    <row r="135" spans="1:29" x14ac:dyDescent="0.3">
      <c r="A135" s="27" t="s">
        <v>237</v>
      </c>
      <c r="B135" s="35">
        <v>0</v>
      </c>
      <c r="C135" s="36">
        <v>0</v>
      </c>
      <c r="D135" s="35">
        <v>0</v>
      </c>
      <c r="E135" s="36">
        <v>0</v>
      </c>
      <c r="F135" s="36">
        <v>0</v>
      </c>
      <c r="G135" s="35">
        <v>0</v>
      </c>
      <c r="H135" s="36">
        <v>0</v>
      </c>
      <c r="I135" s="35">
        <v>0</v>
      </c>
      <c r="J135" s="36">
        <v>0</v>
      </c>
      <c r="K135" s="36">
        <v>0</v>
      </c>
      <c r="L135" s="35">
        <v>0</v>
      </c>
      <c r="M135" s="36">
        <v>0</v>
      </c>
      <c r="N135" s="35">
        <v>0</v>
      </c>
      <c r="O135" s="35">
        <v>0</v>
      </c>
      <c r="P135" s="35">
        <v>0</v>
      </c>
      <c r="Q135" s="36">
        <v>0</v>
      </c>
      <c r="R135" s="35">
        <v>0</v>
      </c>
      <c r="S135" s="35">
        <v>0</v>
      </c>
      <c r="T135" s="36">
        <v>0</v>
      </c>
      <c r="U135" s="35">
        <v>0</v>
      </c>
      <c r="V135" s="36">
        <v>0</v>
      </c>
      <c r="W135" s="36">
        <v>0</v>
      </c>
      <c r="X135" s="35">
        <v>0</v>
      </c>
      <c r="Y135" s="36">
        <v>0</v>
      </c>
      <c r="Z135" s="35">
        <v>0</v>
      </c>
      <c r="AA135" s="36">
        <v>0</v>
      </c>
      <c r="AB135" s="36">
        <v>0</v>
      </c>
      <c r="AC135" s="35">
        <v>0</v>
      </c>
    </row>
    <row r="136" spans="1:29" x14ac:dyDescent="0.3">
      <c r="A136" s="21" t="s">
        <v>238</v>
      </c>
      <c r="B136" s="35">
        <v>0</v>
      </c>
      <c r="C136" s="36">
        <v>0</v>
      </c>
      <c r="D136" s="35">
        <v>0</v>
      </c>
      <c r="E136" s="36">
        <v>0</v>
      </c>
      <c r="F136" s="36">
        <v>0</v>
      </c>
      <c r="G136" s="35">
        <v>0</v>
      </c>
      <c r="H136" s="36">
        <v>0</v>
      </c>
      <c r="I136" s="35">
        <v>0</v>
      </c>
      <c r="J136" s="36">
        <v>0</v>
      </c>
      <c r="K136" s="36">
        <v>0</v>
      </c>
      <c r="L136" s="35">
        <v>0</v>
      </c>
      <c r="M136" s="34">
        <v>2</v>
      </c>
      <c r="N136" s="29">
        <v>2</v>
      </c>
      <c r="O136" s="35">
        <v>0</v>
      </c>
      <c r="P136" s="35">
        <v>0</v>
      </c>
      <c r="Q136" s="36">
        <v>0</v>
      </c>
      <c r="R136" s="35">
        <v>0</v>
      </c>
      <c r="S136" s="35">
        <v>0</v>
      </c>
      <c r="T136" s="36">
        <v>0</v>
      </c>
      <c r="U136" s="35">
        <v>0</v>
      </c>
      <c r="V136" s="36">
        <v>0</v>
      </c>
      <c r="W136" s="36">
        <v>0</v>
      </c>
      <c r="X136" s="35">
        <v>0</v>
      </c>
      <c r="Y136" s="36">
        <v>0</v>
      </c>
      <c r="Z136" s="35">
        <v>0</v>
      </c>
      <c r="AA136" s="36">
        <v>0</v>
      </c>
      <c r="AB136" s="36">
        <v>0</v>
      </c>
      <c r="AC136" s="35">
        <v>0</v>
      </c>
    </row>
    <row r="137" spans="1:29" x14ac:dyDescent="0.3">
      <c r="A137" s="27" t="s">
        <v>239</v>
      </c>
      <c r="B137" s="35">
        <v>0</v>
      </c>
      <c r="C137" s="36">
        <v>0</v>
      </c>
      <c r="D137" s="29">
        <v>4</v>
      </c>
      <c r="E137" s="34">
        <v>1</v>
      </c>
      <c r="F137" s="34">
        <v>4</v>
      </c>
      <c r="G137" s="35">
        <v>0</v>
      </c>
      <c r="H137" s="36">
        <v>0</v>
      </c>
      <c r="I137" s="35">
        <v>0</v>
      </c>
      <c r="J137" s="36">
        <v>0</v>
      </c>
      <c r="K137" s="36">
        <v>0</v>
      </c>
      <c r="L137" s="35">
        <v>0</v>
      </c>
      <c r="M137" s="34">
        <v>26</v>
      </c>
      <c r="N137" s="29">
        <v>22</v>
      </c>
      <c r="O137" s="29">
        <v>2</v>
      </c>
      <c r="P137" s="35">
        <v>0</v>
      </c>
      <c r="Q137" s="36">
        <v>0</v>
      </c>
      <c r="R137" s="35">
        <v>0</v>
      </c>
      <c r="S137" s="35">
        <v>0</v>
      </c>
      <c r="T137" s="36">
        <v>0</v>
      </c>
      <c r="U137" s="35">
        <v>0</v>
      </c>
      <c r="V137" s="36">
        <v>0</v>
      </c>
      <c r="W137" s="36">
        <v>0</v>
      </c>
      <c r="X137" s="35">
        <v>0</v>
      </c>
      <c r="Y137" s="36">
        <v>0</v>
      </c>
      <c r="Z137" s="35">
        <v>0</v>
      </c>
      <c r="AA137" s="36">
        <v>0</v>
      </c>
      <c r="AB137" s="36">
        <v>0</v>
      </c>
      <c r="AC137" s="35">
        <v>0</v>
      </c>
    </row>
    <row r="138" spans="1:29" x14ac:dyDescent="0.3">
      <c r="A138" s="27" t="s">
        <v>240</v>
      </c>
      <c r="B138" s="35">
        <v>0</v>
      </c>
      <c r="C138" s="36">
        <v>0</v>
      </c>
      <c r="D138" s="35">
        <v>0</v>
      </c>
      <c r="E138" s="36">
        <v>0</v>
      </c>
      <c r="F138" s="36">
        <v>0</v>
      </c>
      <c r="G138" s="35">
        <v>0</v>
      </c>
      <c r="H138" s="36">
        <v>0</v>
      </c>
      <c r="I138" s="35">
        <v>0</v>
      </c>
      <c r="J138" s="36">
        <v>0</v>
      </c>
      <c r="K138" s="36">
        <v>0</v>
      </c>
      <c r="L138" s="35">
        <v>0</v>
      </c>
      <c r="M138" s="36">
        <v>0</v>
      </c>
      <c r="N138" s="35">
        <v>0</v>
      </c>
      <c r="O138" s="35">
        <v>0</v>
      </c>
      <c r="P138" s="35">
        <v>0</v>
      </c>
      <c r="Q138" s="36">
        <v>0</v>
      </c>
      <c r="R138" s="35">
        <v>0</v>
      </c>
      <c r="S138" s="35">
        <v>0</v>
      </c>
      <c r="T138" s="36">
        <v>0</v>
      </c>
      <c r="U138" s="35">
        <v>0</v>
      </c>
      <c r="V138" s="36">
        <v>0</v>
      </c>
      <c r="W138" s="36">
        <v>0</v>
      </c>
      <c r="X138" s="35">
        <v>0</v>
      </c>
      <c r="Y138" s="36">
        <v>0</v>
      </c>
      <c r="Z138" s="35">
        <v>0</v>
      </c>
      <c r="AA138" s="36">
        <v>0</v>
      </c>
      <c r="AB138" s="36">
        <v>0</v>
      </c>
      <c r="AC138" s="35">
        <v>0</v>
      </c>
    </row>
    <row r="139" spans="1:29" x14ac:dyDescent="0.3">
      <c r="A139" s="21" t="s">
        <v>241</v>
      </c>
      <c r="B139" s="35">
        <v>0</v>
      </c>
      <c r="C139" s="36">
        <v>0</v>
      </c>
      <c r="D139" s="35">
        <v>0</v>
      </c>
      <c r="E139" s="36">
        <v>0</v>
      </c>
      <c r="F139" s="36">
        <v>0</v>
      </c>
      <c r="G139" s="35">
        <v>0</v>
      </c>
      <c r="H139" s="36">
        <v>0</v>
      </c>
      <c r="I139" s="35">
        <v>0</v>
      </c>
      <c r="J139" s="36">
        <v>0</v>
      </c>
      <c r="K139" s="36">
        <v>0</v>
      </c>
      <c r="L139" s="35">
        <v>0</v>
      </c>
      <c r="M139" s="36">
        <v>0</v>
      </c>
      <c r="N139" s="35">
        <v>0</v>
      </c>
      <c r="O139" s="35">
        <v>0</v>
      </c>
      <c r="P139" s="35">
        <v>0</v>
      </c>
      <c r="Q139" s="36">
        <v>0</v>
      </c>
      <c r="R139" s="35">
        <v>0</v>
      </c>
      <c r="S139" s="35">
        <v>0</v>
      </c>
      <c r="T139" s="36">
        <v>0</v>
      </c>
      <c r="U139" s="35">
        <v>0</v>
      </c>
      <c r="V139" s="36">
        <v>0</v>
      </c>
      <c r="W139" s="36">
        <v>0</v>
      </c>
      <c r="X139" s="35">
        <v>0</v>
      </c>
      <c r="Y139" s="36">
        <v>0</v>
      </c>
      <c r="Z139" s="35">
        <v>0</v>
      </c>
      <c r="AA139" s="36">
        <v>0</v>
      </c>
      <c r="AB139" s="36">
        <v>0</v>
      </c>
      <c r="AC139" s="35">
        <v>0</v>
      </c>
    </row>
    <row r="140" spans="1:29" x14ac:dyDescent="0.3">
      <c r="A140" s="27" t="s">
        <v>242</v>
      </c>
      <c r="B140" s="35">
        <v>0</v>
      </c>
      <c r="C140" s="36">
        <v>0</v>
      </c>
      <c r="D140" s="35">
        <v>0</v>
      </c>
      <c r="E140" s="36">
        <v>0</v>
      </c>
      <c r="F140" s="36">
        <v>0</v>
      </c>
      <c r="G140" s="35">
        <v>0</v>
      </c>
      <c r="H140" s="36">
        <v>0</v>
      </c>
      <c r="I140" s="35">
        <v>0</v>
      </c>
      <c r="J140" s="36">
        <v>0</v>
      </c>
      <c r="K140" s="36">
        <v>0</v>
      </c>
      <c r="L140" s="35">
        <v>0</v>
      </c>
      <c r="M140" s="36">
        <v>0</v>
      </c>
      <c r="N140" s="35">
        <v>0</v>
      </c>
      <c r="O140" s="35">
        <v>0</v>
      </c>
      <c r="P140" s="35">
        <v>0</v>
      </c>
      <c r="Q140" s="36">
        <v>0</v>
      </c>
      <c r="R140" s="35">
        <v>0</v>
      </c>
      <c r="S140" s="35">
        <v>0</v>
      </c>
      <c r="T140" s="36">
        <v>0</v>
      </c>
      <c r="U140" s="35">
        <v>0</v>
      </c>
      <c r="V140" s="36">
        <v>0</v>
      </c>
      <c r="W140" s="36">
        <v>0</v>
      </c>
      <c r="X140" s="35">
        <v>0</v>
      </c>
      <c r="Y140" s="36">
        <v>0</v>
      </c>
      <c r="Z140" s="35">
        <v>0</v>
      </c>
      <c r="AA140" s="36">
        <v>0</v>
      </c>
      <c r="AB140" s="36">
        <v>0</v>
      </c>
      <c r="AC140" s="35">
        <v>0</v>
      </c>
    </row>
    <row r="141" spans="1:29" x14ac:dyDescent="0.3">
      <c r="A141" s="21" t="s">
        <v>243</v>
      </c>
      <c r="B141" s="35">
        <v>0</v>
      </c>
      <c r="C141" s="36">
        <v>0</v>
      </c>
      <c r="D141" s="35">
        <v>0</v>
      </c>
      <c r="E141" s="36">
        <v>0</v>
      </c>
      <c r="F141" s="36">
        <v>0</v>
      </c>
      <c r="G141" s="35">
        <v>0</v>
      </c>
      <c r="H141" s="36">
        <v>0</v>
      </c>
      <c r="I141" s="35">
        <v>0</v>
      </c>
      <c r="J141" s="36">
        <v>0</v>
      </c>
      <c r="K141" s="36">
        <v>0</v>
      </c>
      <c r="L141" s="35">
        <v>0</v>
      </c>
      <c r="M141" s="36">
        <v>0</v>
      </c>
      <c r="N141" s="29">
        <v>2</v>
      </c>
      <c r="O141" s="35">
        <v>0</v>
      </c>
      <c r="P141" s="35">
        <v>0</v>
      </c>
      <c r="Q141" s="36">
        <v>0</v>
      </c>
      <c r="R141" s="35">
        <v>0</v>
      </c>
      <c r="S141" s="35">
        <v>0</v>
      </c>
      <c r="T141" s="36">
        <v>0</v>
      </c>
      <c r="U141" s="35">
        <v>0</v>
      </c>
      <c r="V141" s="36">
        <v>0</v>
      </c>
      <c r="W141" s="36">
        <v>0</v>
      </c>
      <c r="X141" s="35">
        <v>0</v>
      </c>
      <c r="Y141" s="36">
        <v>0</v>
      </c>
      <c r="Z141" s="35">
        <v>0</v>
      </c>
      <c r="AA141" s="36">
        <v>0</v>
      </c>
      <c r="AB141" s="36">
        <v>0</v>
      </c>
      <c r="AC141" s="35">
        <v>0</v>
      </c>
    </row>
    <row r="142" spans="1:29" x14ac:dyDescent="0.3">
      <c r="A142" s="27" t="s">
        <v>244</v>
      </c>
      <c r="B142" s="29">
        <v>8</v>
      </c>
      <c r="C142" s="36">
        <v>0</v>
      </c>
      <c r="D142" s="35">
        <v>0</v>
      </c>
      <c r="E142" s="36">
        <v>0</v>
      </c>
      <c r="F142" s="36">
        <v>0</v>
      </c>
      <c r="G142" s="35">
        <v>0</v>
      </c>
      <c r="H142" s="34">
        <v>1</v>
      </c>
      <c r="I142" s="35">
        <v>0</v>
      </c>
      <c r="J142" s="36">
        <v>0</v>
      </c>
      <c r="K142" s="36">
        <v>0</v>
      </c>
      <c r="L142" s="35">
        <v>0</v>
      </c>
      <c r="M142" s="34">
        <v>1</v>
      </c>
      <c r="N142" s="29">
        <v>6</v>
      </c>
      <c r="O142" s="35">
        <v>0</v>
      </c>
      <c r="P142" s="35">
        <v>0</v>
      </c>
      <c r="Q142" s="36">
        <v>0</v>
      </c>
      <c r="R142" s="35">
        <v>0</v>
      </c>
      <c r="S142" s="29">
        <v>1</v>
      </c>
      <c r="T142" s="34">
        <v>1</v>
      </c>
      <c r="U142" s="35">
        <v>0</v>
      </c>
      <c r="V142" s="34">
        <v>1</v>
      </c>
      <c r="W142" s="36">
        <v>0</v>
      </c>
      <c r="X142" s="35">
        <v>0</v>
      </c>
      <c r="Y142" s="36">
        <v>0</v>
      </c>
      <c r="Z142" s="29">
        <v>3</v>
      </c>
      <c r="AA142" s="34">
        <v>1</v>
      </c>
      <c r="AB142" s="36">
        <v>0</v>
      </c>
      <c r="AC142" s="35">
        <v>0</v>
      </c>
    </row>
    <row r="143" spans="1:29" x14ac:dyDescent="0.3">
      <c r="A143" s="21" t="s">
        <v>119</v>
      </c>
      <c r="B143" s="35">
        <v>0</v>
      </c>
      <c r="C143" s="36">
        <v>0</v>
      </c>
      <c r="D143" s="35">
        <v>0</v>
      </c>
      <c r="E143" s="36">
        <v>0</v>
      </c>
      <c r="F143" s="36">
        <v>0</v>
      </c>
      <c r="G143" s="35">
        <v>0</v>
      </c>
      <c r="H143" s="36">
        <v>0</v>
      </c>
      <c r="I143" s="35">
        <v>0</v>
      </c>
      <c r="J143" s="36">
        <v>0</v>
      </c>
      <c r="K143" s="36">
        <v>0</v>
      </c>
      <c r="L143" s="35">
        <v>0</v>
      </c>
      <c r="M143" s="36">
        <v>0</v>
      </c>
      <c r="N143" s="35">
        <v>0</v>
      </c>
      <c r="O143" s="35">
        <v>0</v>
      </c>
      <c r="P143" s="35">
        <v>0</v>
      </c>
      <c r="Q143" s="36">
        <v>0</v>
      </c>
      <c r="R143" s="35">
        <v>0</v>
      </c>
      <c r="S143" s="35">
        <v>0</v>
      </c>
      <c r="T143" s="36">
        <v>0</v>
      </c>
      <c r="U143" s="35">
        <v>0</v>
      </c>
      <c r="V143" s="36">
        <v>0</v>
      </c>
      <c r="W143" s="36">
        <v>0</v>
      </c>
      <c r="X143" s="35">
        <v>0</v>
      </c>
      <c r="Y143" s="36">
        <v>0</v>
      </c>
      <c r="Z143" s="35">
        <v>0</v>
      </c>
      <c r="AA143" s="36">
        <v>0</v>
      </c>
      <c r="AB143" s="36">
        <v>0</v>
      </c>
      <c r="AC143" s="35">
        <v>0</v>
      </c>
    </row>
    <row r="144" spans="1:29" x14ac:dyDescent="0.3">
      <c r="A144" s="21" t="s">
        <v>245</v>
      </c>
      <c r="B144" s="35">
        <v>0</v>
      </c>
      <c r="C144" s="36">
        <v>0</v>
      </c>
      <c r="D144" s="35">
        <v>0</v>
      </c>
      <c r="E144" s="36">
        <v>0</v>
      </c>
      <c r="F144" s="36">
        <v>0</v>
      </c>
      <c r="G144" s="35">
        <v>0</v>
      </c>
      <c r="H144" s="36">
        <v>0</v>
      </c>
      <c r="I144" s="35">
        <v>0</v>
      </c>
      <c r="J144" s="36">
        <v>0</v>
      </c>
      <c r="K144" s="36">
        <v>0</v>
      </c>
      <c r="L144" s="35">
        <v>0</v>
      </c>
      <c r="M144" s="36">
        <v>0</v>
      </c>
      <c r="N144" s="35">
        <v>0</v>
      </c>
      <c r="O144" s="35">
        <v>0</v>
      </c>
      <c r="P144" s="35">
        <v>0</v>
      </c>
      <c r="Q144" s="36">
        <v>0</v>
      </c>
      <c r="R144" s="35">
        <v>0</v>
      </c>
      <c r="S144" s="35">
        <v>0</v>
      </c>
      <c r="T144" s="36">
        <v>0</v>
      </c>
      <c r="U144" s="35">
        <v>0</v>
      </c>
      <c r="V144" s="36">
        <v>0</v>
      </c>
      <c r="W144" s="36">
        <v>0</v>
      </c>
      <c r="X144" s="35">
        <v>0</v>
      </c>
      <c r="Y144" s="36">
        <v>0</v>
      </c>
      <c r="Z144" s="35">
        <v>0</v>
      </c>
      <c r="AA144" s="36">
        <v>0</v>
      </c>
      <c r="AB144" s="36">
        <v>0</v>
      </c>
      <c r="AC144" s="35">
        <v>0</v>
      </c>
    </row>
    <row r="145" spans="1:29" x14ac:dyDescent="0.3">
      <c r="A145" s="21" t="s">
        <v>246</v>
      </c>
      <c r="B145" s="35">
        <v>0</v>
      </c>
      <c r="C145" s="36">
        <v>0</v>
      </c>
      <c r="D145" s="35">
        <v>0</v>
      </c>
      <c r="E145" s="36">
        <v>0</v>
      </c>
      <c r="F145" s="36">
        <v>0</v>
      </c>
      <c r="G145" s="35">
        <v>0</v>
      </c>
      <c r="H145" s="36">
        <v>0</v>
      </c>
      <c r="I145" s="35">
        <v>0</v>
      </c>
      <c r="J145" s="36">
        <v>0</v>
      </c>
      <c r="K145" s="36">
        <v>0</v>
      </c>
      <c r="L145" s="35">
        <v>0</v>
      </c>
      <c r="M145" s="36">
        <v>0</v>
      </c>
      <c r="N145" s="35">
        <v>0</v>
      </c>
      <c r="O145" s="35">
        <v>0</v>
      </c>
      <c r="P145" s="35">
        <v>0</v>
      </c>
      <c r="Q145" s="36">
        <v>0</v>
      </c>
      <c r="R145" s="35">
        <v>0</v>
      </c>
      <c r="S145" s="35">
        <v>0</v>
      </c>
      <c r="T145" s="36">
        <v>0</v>
      </c>
      <c r="U145" s="35">
        <v>0</v>
      </c>
      <c r="V145" s="36">
        <v>0</v>
      </c>
      <c r="W145" s="36">
        <v>0</v>
      </c>
      <c r="X145" s="35">
        <v>0</v>
      </c>
      <c r="Y145" s="36">
        <v>0</v>
      </c>
      <c r="Z145" s="35">
        <v>0</v>
      </c>
      <c r="AA145" s="36">
        <v>0</v>
      </c>
      <c r="AB145" s="36">
        <v>0</v>
      </c>
      <c r="AC145" s="35">
        <v>0</v>
      </c>
    </row>
    <row r="146" spans="1:29" x14ac:dyDescent="0.3">
      <c r="A146" s="27" t="s">
        <v>247</v>
      </c>
      <c r="B146" s="35">
        <v>0</v>
      </c>
      <c r="C146" s="36">
        <v>0</v>
      </c>
      <c r="D146" s="35">
        <v>0</v>
      </c>
      <c r="E146" s="36">
        <v>0</v>
      </c>
      <c r="F146" s="36">
        <v>0</v>
      </c>
      <c r="G146" s="35">
        <v>0</v>
      </c>
      <c r="H146" s="36">
        <v>0</v>
      </c>
      <c r="I146" s="35">
        <v>0</v>
      </c>
      <c r="J146" s="36">
        <v>0</v>
      </c>
      <c r="K146" s="36">
        <v>0</v>
      </c>
      <c r="L146" s="35">
        <v>0</v>
      </c>
      <c r="M146" s="36">
        <v>0</v>
      </c>
      <c r="N146" s="35">
        <v>0</v>
      </c>
      <c r="O146" s="35">
        <v>0</v>
      </c>
      <c r="P146" s="35">
        <v>0</v>
      </c>
      <c r="Q146" s="36">
        <v>0</v>
      </c>
      <c r="R146" s="35">
        <v>0</v>
      </c>
      <c r="S146" s="35">
        <v>0</v>
      </c>
      <c r="T146" s="36">
        <v>0</v>
      </c>
      <c r="U146" s="35">
        <v>0</v>
      </c>
      <c r="V146" s="36">
        <v>0</v>
      </c>
      <c r="W146" s="36">
        <v>0</v>
      </c>
      <c r="X146" s="35">
        <v>0</v>
      </c>
      <c r="Y146" s="36">
        <v>0</v>
      </c>
      <c r="Z146" s="35">
        <v>0</v>
      </c>
      <c r="AA146" s="36">
        <v>0</v>
      </c>
      <c r="AB146" s="36">
        <v>0</v>
      </c>
      <c r="AC146" s="35">
        <v>0</v>
      </c>
    </row>
    <row r="147" spans="1:29" x14ac:dyDescent="0.3">
      <c r="A147" s="27" t="s">
        <v>248</v>
      </c>
      <c r="B147" s="35">
        <v>0</v>
      </c>
      <c r="C147" s="36">
        <v>0</v>
      </c>
      <c r="D147" s="35">
        <v>0</v>
      </c>
      <c r="E147" s="36">
        <v>0</v>
      </c>
      <c r="F147" s="36">
        <v>0</v>
      </c>
      <c r="G147" s="35">
        <v>0</v>
      </c>
      <c r="H147" s="36">
        <v>0</v>
      </c>
      <c r="I147" s="35">
        <v>0</v>
      </c>
      <c r="J147" s="36">
        <v>0</v>
      </c>
      <c r="K147" s="36">
        <v>0</v>
      </c>
      <c r="L147" s="35">
        <v>0</v>
      </c>
      <c r="M147" s="36">
        <v>0</v>
      </c>
      <c r="N147" s="35">
        <v>0</v>
      </c>
      <c r="O147" s="35">
        <v>0</v>
      </c>
      <c r="P147" s="35">
        <v>0</v>
      </c>
      <c r="Q147" s="36">
        <v>0</v>
      </c>
      <c r="R147" s="35">
        <v>0</v>
      </c>
      <c r="S147" s="35">
        <v>0</v>
      </c>
      <c r="T147" s="36">
        <v>0</v>
      </c>
      <c r="U147" s="35">
        <v>0</v>
      </c>
      <c r="V147" s="34">
        <v>1</v>
      </c>
      <c r="W147" s="36">
        <v>0</v>
      </c>
      <c r="X147" s="35">
        <v>0</v>
      </c>
      <c r="Y147" s="36">
        <v>0</v>
      </c>
      <c r="Z147" s="29">
        <v>1</v>
      </c>
      <c r="AA147" s="36">
        <v>0</v>
      </c>
      <c r="AB147" s="36">
        <v>0</v>
      </c>
      <c r="AC147" s="35">
        <v>0</v>
      </c>
    </row>
    <row r="148" spans="1:29" x14ac:dyDescent="0.3">
      <c r="A148" s="21" t="s">
        <v>249</v>
      </c>
      <c r="B148" s="35">
        <v>0</v>
      </c>
      <c r="C148" s="36">
        <v>0</v>
      </c>
      <c r="D148" s="35">
        <v>0</v>
      </c>
      <c r="E148" s="36">
        <v>0</v>
      </c>
      <c r="F148" s="36">
        <v>0</v>
      </c>
      <c r="G148" s="35">
        <v>0</v>
      </c>
      <c r="H148" s="36">
        <v>0</v>
      </c>
      <c r="I148" s="35">
        <v>0</v>
      </c>
      <c r="J148" s="36">
        <v>0</v>
      </c>
      <c r="K148" s="36">
        <v>0</v>
      </c>
      <c r="L148" s="35">
        <v>0</v>
      </c>
      <c r="M148" s="36">
        <v>0</v>
      </c>
      <c r="N148" s="35">
        <v>0</v>
      </c>
      <c r="O148" s="35">
        <v>0</v>
      </c>
      <c r="P148" s="35">
        <v>0</v>
      </c>
      <c r="Q148" s="36">
        <v>0</v>
      </c>
      <c r="R148" s="35">
        <v>0</v>
      </c>
      <c r="S148" s="35">
        <v>0</v>
      </c>
      <c r="T148" s="36">
        <v>0</v>
      </c>
      <c r="U148" s="35">
        <v>0</v>
      </c>
      <c r="V148" s="36">
        <v>0</v>
      </c>
      <c r="W148" s="36">
        <v>0</v>
      </c>
      <c r="X148" s="35">
        <v>0</v>
      </c>
      <c r="Y148" s="36">
        <v>0</v>
      </c>
      <c r="Z148" s="35">
        <v>0</v>
      </c>
      <c r="AA148" s="36">
        <v>0</v>
      </c>
      <c r="AB148" s="36">
        <v>0</v>
      </c>
      <c r="AC148" s="35">
        <v>0</v>
      </c>
    </row>
    <row r="149" spans="1:29" x14ac:dyDescent="0.3">
      <c r="A149" s="27" t="s">
        <v>250</v>
      </c>
      <c r="B149" s="35">
        <v>0</v>
      </c>
      <c r="C149" s="36">
        <v>0</v>
      </c>
      <c r="D149" s="35">
        <v>0</v>
      </c>
      <c r="E149" s="36">
        <v>0</v>
      </c>
      <c r="F149" s="36">
        <v>0</v>
      </c>
      <c r="G149" s="35">
        <v>0</v>
      </c>
      <c r="H149" s="36">
        <v>0</v>
      </c>
      <c r="I149" s="35">
        <v>0</v>
      </c>
      <c r="J149" s="36">
        <v>0</v>
      </c>
      <c r="K149" s="36">
        <v>0</v>
      </c>
      <c r="L149" s="35">
        <v>0</v>
      </c>
      <c r="M149" s="36">
        <v>0</v>
      </c>
      <c r="N149" s="35">
        <v>0</v>
      </c>
      <c r="O149" s="35">
        <v>0</v>
      </c>
      <c r="P149" s="35">
        <v>0</v>
      </c>
      <c r="Q149" s="36">
        <v>0</v>
      </c>
      <c r="R149" s="35">
        <v>0</v>
      </c>
      <c r="S149" s="35">
        <v>0</v>
      </c>
      <c r="T149" s="36">
        <v>0</v>
      </c>
      <c r="U149" s="35">
        <v>0</v>
      </c>
      <c r="V149" s="36">
        <v>0</v>
      </c>
      <c r="W149" s="36">
        <v>0</v>
      </c>
      <c r="X149" s="35">
        <v>0</v>
      </c>
      <c r="Y149" s="36">
        <v>0</v>
      </c>
      <c r="Z149" s="35">
        <v>0</v>
      </c>
      <c r="AA149" s="36">
        <v>0</v>
      </c>
      <c r="AB149" s="36">
        <v>0</v>
      </c>
      <c r="AC149" s="35">
        <v>0</v>
      </c>
    </row>
    <row r="150" spans="1:29" x14ac:dyDescent="0.3">
      <c r="A150" s="27" t="s">
        <v>251</v>
      </c>
      <c r="B150" s="35">
        <v>0</v>
      </c>
      <c r="C150" s="36">
        <v>0</v>
      </c>
      <c r="D150" s="35">
        <v>0</v>
      </c>
      <c r="E150" s="36">
        <v>0</v>
      </c>
      <c r="F150" s="36">
        <v>0</v>
      </c>
      <c r="G150" s="35">
        <v>0</v>
      </c>
      <c r="H150" s="36">
        <v>0</v>
      </c>
      <c r="I150" s="35">
        <v>0</v>
      </c>
      <c r="J150" s="36">
        <v>0</v>
      </c>
      <c r="K150" s="36">
        <v>0</v>
      </c>
      <c r="L150" s="35">
        <v>0</v>
      </c>
      <c r="M150" s="36">
        <v>0</v>
      </c>
      <c r="N150" s="29">
        <v>3</v>
      </c>
      <c r="O150" s="35">
        <v>0</v>
      </c>
      <c r="P150" s="35">
        <v>0</v>
      </c>
      <c r="Q150" s="36">
        <v>0</v>
      </c>
      <c r="R150" s="35">
        <v>0</v>
      </c>
      <c r="S150" s="35">
        <v>0</v>
      </c>
      <c r="T150" s="36">
        <v>0</v>
      </c>
      <c r="U150" s="35">
        <v>0</v>
      </c>
      <c r="V150" s="36">
        <v>0</v>
      </c>
      <c r="W150" s="36">
        <v>0</v>
      </c>
      <c r="X150" s="35">
        <v>0</v>
      </c>
      <c r="Y150" s="36">
        <v>0</v>
      </c>
      <c r="Z150" s="35">
        <v>0</v>
      </c>
      <c r="AA150" s="36">
        <v>0</v>
      </c>
      <c r="AB150" s="36">
        <v>0</v>
      </c>
      <c r="AC150" s="35">
        <v>0</v>
      </c>
    </row>
    <row r="151" spans="1:29" x14ac:dyDescent="0.3">
      <c r="A151" s="21" t="s">
        <v>252</v>
      </c>
      <c r="B151" s="35">
        <v>0</v>
      </c>
      <c r="C151" s="36">
        <v>0</v>
      </c>
      <c r="D151" s="35">
        <v>0</v>
      </c>
      <c r="E151" s="36">
        <v>0</v>
      </c>
      <c r="F151" s="36">
        <v>0</v>
      </c>
      <c r="G151" s="35">
        <v>0</v>
      </c>
      <c r="H151" s="36">
        <v>0</v>
      </c>
      <c r="I151" s="35">
        <v>0</v>
      </c>
      <c r="J151" s="36">
        <v>0</v>
      </c>
      <c r="K151" s="36">
        <v>0</v>
      </c>
      <c r="L151" s="35">
        <v>0</v>
      </c>
      <c r="M151" s="36">
        <v>0</v>
      </c>
      <c r="N151" s="35">
        <v>0</v>
      </c>
      <c r="O151" s="35">
        <v>0</v>
      </c>
      <c r="P151" s="35">
        <v>0</v>
      </c>
      <c r="Q151" s="36">
        <v>0</v>
      </c>
      <c r="R151" s="35">
        <v>0</v>
      </c>
      <c r="S151" s="35">
        <v>0</v>
      </c>
      <c r="T151" s="36">
        <v>0</v>
      </c>
      <c r="U151" s="35">
        <v>0</v>
      </c>
      <c r="V151" s="36">
        <v>0</v>
      </c>
      <c r="W151" s="36">
        <v>0</v>
      </c>
      <c r="X151" s="35">
        <v>0</v>
      </c>
      <c r="Y151" s="36">
        <v>0</v>
      </c>
      <c r="Z151" s="35">
        <v>0</v>
      </c>
      <c r="AA151" s="36">
        <v>0</v>
      </c>
      <c r="AB151" s="36">
        <v>0</v>
      </c>
      <c r="AC151" s="35">
        <v>0</v>
      </c>
    </row>
    <row r="152" spans="1:29" x14ac:dyDescent="0.3">
      <c r="A152" s="27" t="s">
        <v>253</v>
      </c>
      <c r="B152" s="35">
        <v>0</v>
      </c>
      <c r="C152" s="36">
        <v>0</v>
      </c>
      <c r="D152" s="35">
        <v>0</v>
      </c>
      <c r="E152" s="36">
        <v>0</v>
      </c>
      <c r="F152" s="36">
        <v>0</v>
      </c>
      <c r="G152" s="35">
        <v>0</v>
      </c>
      <c r="H152" s="36">
        <v>0</v>
      </c>
      <c r="I152" s="35">
        <v>0</v>
      </c>
      <c r="J152" s="36">
        <v>0</v>
      </c>
      <c r="K152" s="36">
        <v>0</v>
      </c>
      <c r="L152" s="35">
        <v>0</v>
      </c>
      <c r="M152" s="34">
        <v>1</v>
      </c>
      <c r="N152" s="35">
        <v>0</v>
      </c>
      <c r="O152" s="35">
        <v>0</v>
      </c>
      <c r="P152" s="35">
        <v>0</v>
      </c>
      <c r="Q152" s="36">
        <v>0</v>
      </c>
      <c r="R152" s="35">
        <v>0</v>
      </c>
      <c r="S152" s="35">
        <v>0</v>
      </c>
      <c r="T152" s="36">
        <v>0</v>
      </c>
      <c r="U152" s="35">
        <v>0</v>
      </c>
      <c r="V152" s="36">
        <v>0</v>
      </c>
      <c r="W152" s="36">
        <v>0</v>
      </c>
      <c r="X152" s="35">
        <v>0</v>
      </c>
      <c r="Y152" s="36">
        <v>0</v>
      </c>
      <c r="Z152" s="35">
        <v>0</v>
      </c>
      <c r="AA152" s="36">
        <v>0</v>
      </c>
      <c r="AB152" s="36">
        <v>0</v>
      </c>
      <c r="AC152" s="35">
        <v>0</v>
      </c>
    </row>
    <row r="153" spans="1:29" x14ac:dyDescent="0.3">
      <c r="A153" s="21" t="s">
        <v>254</v>
      </c>
      <c r="B153" s="35">
        <v>0</v>
      </c>
      <c r="C153" s="36">
        <v>0</v>
      </c>
      <c r="D153" s="35">
        <v>0</v>
      </c>
      <c r="E153" s="36">
        <v>0</v>
      </c>
      <c r="F153" s="36">
        <v>0</v>
      </c>
      <c r="G153" s="35">
        <v>0</v>
      </c>
      <c r="H153" s="36">
        <v>0</v>
      </c>
      <c r="I153" s="35">
        <v>0</v>
      </c>
      <c r="J153" s="36">
        <v>0</v>
      </c>
      <c r="K153" s="36">
        <v>0</v>
      </c>
      <c r="L153" s="35">
        <v>0</v>
      </c>
      <c r="M153" s="36">
        <v>0</v>
      </c>
      <c r="N153" s="35">
        <v>0</v>
      </c>
      <c r="O153" s="35">
        <v>0</v>
      </c>
      <c r="P153" s="35">
        <v>0</v>
      </c>
      <c r="Q153" s="36">
        <v>0</v>
      </c>
      <c r="R153" s="35">
        <v>0</v>
      </c>
      <c r="S153" s="35">
        <v>0</v>
      </c>
      <c r="T153" s="36">
        <v>0</v>
      </c>
      <c r="U153" s="35">
        <v>0</v>
      </c>
      <c r="V153" s="36">
        <v>0</v>
      </c>
      <c r="W153" s="36">
        <v>0</v>
      </c>
      <c r="X153" s="35">
        <v>0</v>
      </c>
      <c r="Y153" s="36">
        <v>0</v>
      </c>
      <c r="Z153" s="35">
        <v>0</v>
      </c>
      <c r="AA153" s="36">
        <v>0</v>
      </c>
      <c r="AB153" s="36">
        <v>0</v>
      </c>
      <c r="AC153" s="35">
        <v>0</v>
      </c>
    </row>
    <row r="154" spans="1:29" x14ac:dyDescent="0.3">
      <c r="A154" s="27" t="s">
        <v>255</v>
      </c>
      <c r="B154" s="35">
        <v>0</v>
      </c>
      <c r="C154" s="34">
        <v>1</v>
      </c>
      <c r="D154" s="29">
        <v>1</v>
      </c>
      <c r="E154" s="36">
        <v>0</v>
      </c>
      <c r="F154" s="36">
        <v>0</v>
      </c>
      <c r="G154" s="35">
        <v>0</v>
      </c>
      <c r="H154" s="36">
        <v>0</v>
      </c>
      <c r="I154" s="35">
        <v>0</v>
      </c>
      <c r="J154" s="36">
        <v>0</v>
      </c>
      <c r="K154" s="36">
        <v>0</v>
      </c>
      <c r="L154" s="35">
        <v>0</v>
      </c>
      <c r="M154" s="36">
        <v>0</v>
      </c>
      <c r="N154" s="35">
        <v>0</v>
      </c>
      <c r="O154" s="35">
        <v>0</v>
      </c>
      <c r="P154" s="35">
        <v>0</v>
      </c>
      <c r="Q154" s="36">
        <v>0</v>
      </c>
      <c r="R154" s="35">
        <v>0</v>
      </c>
      <c r="S154" s="35">
        <v>0</v>
      </c>
      <c r="T154" s="36">
        <v>0</v>
      </c>
      <c r="U154" s="35">
        <v>0</v>
      </c>
      <c r="V154" s="36">
        <v>0</v>
      </c>
      <c r="W154" s="36">
        <v>0</v>
      </c>
      <c r="X154" s="35">
        <v>0</v>
      </c>
      <c r="Y154" s="36">
        <v>0</v>
      </c>
      <c r="Z154" s="35">
        <v>0</v>
      </c>
      <c r="AA154" s="36">
        <v>0</v>
      </c>
      <c r="AB154" s="36">
        <v>0</v>
      </c>
      <c r="AC154" s="35">
        <v>0</v>
      </c>
    </row>
    <row r="155" spans="1:29" x14ac:dyDescent="0.3">
      <c r="A155" s="21" t="s">
        <v>119</v>
      </c>
      <c r="B155" s="35">
        <v>0</v>
      </c>
      <c r="C155" s="36">
        <v>0</v>
      </c>
      <c r="D155" s="35">
        <v>0</v>
      </c>
      <c r="E155" s="36">
        <v>0</v>
      </c>
      <c r="F155" s="36">
        <v>0</v>
      </c>
      <c r="G155" s="35">
        <v>0</v>
      </c>
      <c r="H155" s="36">
        <v>0</v>
      </c>
      <c r="I155" s="35">
        <v>0</v>
      </c>
      <c r="J155" s="36">
        <v>0</v>
      </c>
      <c r="K155" s="36">
        <v>0</v>
      </c>
      <c r="L155" s="35">
        <v>0</v>
      </c>
      <c r="M155" s="36">
        <v>0</v>
      </c>
      <c r="N155" s="35">
        <v>0</v>
      </c>
      <c r="O155" s="35">
        <v>0</v>
      </c>
      <c r="P155" s="35">
        <v>0</v>
      </c>
      <c r="Q155" s="36">
        <v>0</v>
      </c>
      <c r="R155" s="35">
        <v>0</v>
      </c>
      <c r="S155" s="35">
        <v>0</v>
      </c>
      <c r="T155" s="36">
        <v>0</v>
      </c>
      <c r="U155" s="35">
        <v>0</v>
      </c>
      <c r="V155" s="36">
        <v>0</v>
      </c>
      <c r="W155" s="36">
        <v>0</v>
      </c>
      <c r="X155" s="35">
        <v>0</v>
      </c>
      <c r="Y155" s="36">
        <v>0</v>
      </c>
      <c r="Z155" s="35">
        <v>0</v>
      </c>
      <c r="AA155" s="36">
        <v>0</v>
      </c>
      <c r="AB155" s="36">
        <v>0</v>
      </c>
      <c r="AC155" s="35">
        <v>0</v>
      </c>
    </row>
    <row r="156" spans="1:29" x14ac:dyDescent="0.3">
      <c r="A156" s="21" t="s">
        <v>256</v>
      </c>
      <c r="B156" s="35">
        <v>0</v>
      </c>
      <c r="C156" s="36">
        <v>0</v>
      </c>
      <c r="D156" s="35">
        <v>0</v>
      </c>
      <c r="E156" s="36">
        <v>0</v>
      </c>
      <c r="F156" s="36">
        <v>0</v>
      </c>
      <c r="G156" s="35">
        <v>0</v>
      </c>
      <c r="H156" s="36">
        <v>0</v>
      </c>
      <c r="I156" s="35">
        <v>0</v>
      </c>
      <c r="J156" s="36">
        <v>0</v>
      </c>
      <c r="K156" s="36">
        <v>0</v>
      </c>
      <c r="L156" s="35">
        <v>0</v>
      </c>
      <c r="M156" s="36">
        <v>0</v>
      </c>
      <c r="N156" s="35">
        <v>0</v>
      </c>
      <c r="O156" s="35">
        <v>0</v>
      </c>
      <c r="P156" s="35">
        <v>0</v>
      </c>
      <c r="Q156" s="36">
        <v>0</v>
      </c>
      <c r="R156" s="35">
        <v>0</v>
      </c>
      <c r="S156" s="35">
        <v>0</v>
      </c>
      <c r="T156" s="36">
        <v>0</v>
      </c>
      <c r="U156" s="35">
        <v>0</v>
      </c>
      <c r="V156" s="36">
        <v>0</v>
      </c>
      <c r="W156" s="36">
        <v>0</v>
      </c>
      <c r="X156" s="35">
        <v>0</v>
      </c>
      <c r="Y156" s="36">
        <v>0</v>
      </c>
      <c r="Z156" s="35">
        <v>0</v>
      </c>
      <c r="AA156" s="36">
        <v>0</v>
      </c>
      <c r="AB156" s="36">
        <v>0</v>
      </c>
      <c r="AC156" s="35">
        <v>0</v>
      </c>
    </row>
    <row r="157" spans="1:29" x14ac:dyDescent="0.3">
      <c r="A157" s="21" t="s">
        <v>257</v>
      </c>
      <c r="B157" s="35">
        <v>0</v>
      </c>
      <c r="C157" s="36">
        <v>0</v>
      </c>
      <c r="D157" s="35">
        <v>0</v>
      </c>
      <c r="E157" s="36">
        <v>0</v>
      </c>
      <c r="F157" s="36">
        <v>0</v>
      </c>
      <c r="G157" s="35">
        <v>0</v>
      </c>
      <c r="H157" s="36">
        <v>0</v>
      </c>
      <c r="I157" s="35">
        <v>0</v>
      </c>
      <c r="J157" s="36">
        <v>0</v>
      </c>
      <c r="K157" s="36">
        <v>0</v>
      </c>
      <c r="L157" s="35">
        <v>0</v>
      </c>
      <c r="M157" s="36">
        <v>0</v>
      </c>
      <c r="N157" s="35">
        <v>0</v>
      </c>
      <c r="O157" s="35">
        <v>0</v>
      </c>
      <c r="P157" s="35">
        <v>0</v>
      </c>
      <c r="Q157" s="36">
        <v>0</v>
      </c>
      <c r="R157" s="35">
        <v>0</v>
      </c>
      <c r="S157" s="35">
        <v>0</v>
      </c>
      <c r="T157" s="36">
        <v>0</v>
      </c>
      <c r="U157" s="35">
        <v>0</v>
      </c>
      <c r="V157" s="36">
        <v>0</v>
      </c>
      <c r="W157" s="36">
        <v>0</v>
      </c>
      <c r="X157" s="29">
        <v>2</v>
      </c>
      <c r="Y157" s="36">
        <v>0</v>
      </c>
      <c r="Z157" s="35">
        <v>0</v>
      </c>
      <c r="AA157" s="36">
        <v>0</v>
      </c>
      <c r="AB157" s="36">
        <v>0</v>
      </c>
      <c r="AC157" s="35">
        <v>0</v>
      </c>
    </row>
    <row r="158" spans="1:29" x14ac:dyDescent="0.3">
      <c r="A158" s="27" t="s">
        <v>258</v>
      </c>
      <c r="B158" s="29">
        <v>4</v>
      </c>
      <c r="C158" s="34">
        <v>2</v>
      </c>
      <c r="D158" s="29">
        <v>2</v>
      </c>
      <c r="E158" s="34">
        <v>3</v>
      </c>
      <c r="F158" s="34">
        <v>2</v>
      </c>
      <c r="G158" s="29">
        <v>1</v>
      </c>
      <c r="H158" s="36">
        <v>0</v>
      </c>
      <c r="I158" s="35">
        <v>0</v>
      </c>
      <c r="J158" s="36">
        <v>0</v>
      </c>
      <c r="K158" s="36">
        <v>0</v>
      </c>
      <c r="L158" s="35">
        <v>0</v>
      </c>
      <c r="M158" s="36">
        <v>0</v>
      </c>
      <c r="N158" s="35">
        <v>0</v>
      </c>
      <c r="O158" s="35">
        <v>0</v>
      </c>
      <c r="P158" s="29">
        <v>3</v>
      </c>
      <c r="Q158" s="34">
        <v>1</v>
      </c>
      <c r="R158" s="29">
        <v>2</v>
      </c>
      <c r="S158" s="29">
        <v>10</v>
      </c>
      <c r="T158" s="34">
        <v>15</v>
      </c>
      <c r="U158" s="29">
        <v>8</v>
      </c>
      <c r="V158" s="34">
        <v>9</v>
      </c>
      <c r="W158" s="34">
        <v>7</v>
      </c>
      <c r="X158" s="29">
        <v>2</v>
      </c>
      <c r="Y158" s="34">
        <v>5</v>
      </c>
      <c r="Z158" s="29">
        <v>11</v>
      </c>
      <c r="AA158" s="36">
        <v>0</v>
      </c>
      <c r="AB158" s="34">
        <v>4</v>
      </c>
      <c r="AC158" s="29">
        <v>6</v>
      </c>
    </row>
    <row r="159" spans="1:29" x14ac:dyDescent="0.3">
      <c r="A159" s="21" t="s">
        <v>259</v>
      </c>
      <c r="B159" s="35">
        <v>0</v>
      </c>
      <c r="C159" s="36">
        <v>0</v>
      </c>
      <c r="D159" s="35">
        <v>0</v>
      </c>
      <c r="E159" s="36">
        <v>0</v>
      </c>
      <c r="F159" s="34">
        <v>1</v>
      </c>
      <c r="G159" s="35">
        <v>0</v>
      </c>
      <c r="H159" s="36">
        <v>0</v>
      </c>
      <c r="I159" s="35">
        <v>0</v>
      </c>
      <c r="J159" s="36">
        <v>0</v>
      </c>
      <c r="K159" s="36">
        <v>0</v>
      </c>
      <c r="L159" s="35">
        <v>0</v>
      </c>
      <c r="M159" s="36">
        <v>0</v>
      </c>
      <c r="N159" s="35">
        <v>0</v>
      </c>
      <c r="O159" s="35">
        <v>0</v>
      </c>
      <c r="P159" s="35">
        <v>0</v>
      </c>
      <c r="Q159" s="36">
        <v>0</v>
      </c>
      <c r="R159" s="35">
        <v>0</v>
      </c>
      <c r="S159" s="29">
        <v>9</v>
      </c>
      <c r="T159" s="36">
        <v>0</v>
      </c>
      <c r="U159" s="35">
        <v>0</v>
      </c>
      <c r="V159" s="36">
        <v>0</v>
      </c>
      <c r="W159" s="34">
        <v>1</v>
      </c>
      <c r="X159" s="29">
        <v>18</v>
      </c>
      <c r="Y159" s="36">
        <v>0</v>
      </c>
      <c r="Z159" s="35">
        <v>0</v>
      </c>
      <c r="AA159" s="36">
        <v>0</v>
      </c>
      <c r="AB159" s="36">
        <v>0</v>
      </c>
      <c r="AC159" s="35">
        <v>0</v>
      </c>
    </row>
    <row r="160" spans="1:29" x14ac:dyDescent="0.3">
      <c r="A160" s="27" t="s">
        <v>260</v>
      </c>
      <c r="B160" s="35">
        <v>0</v>
      </c>
      <c r="C160" s="36">
        <v>0</v>
      </c>
      <c r="D160" s="35">
        <v>0</v>
      </c>
      <c r="E160" s="36">
        <v>0</v>
      </c>
      <c r="F160" s="36">
        <v>0</v>
      </c>
      <c r="G160" s="35">
        <v>0</v>
      </c>
      <c r="H160" s="36">
        <v>0</v>
      </c>
      <c r="I160" s="35">
        <v>0</v>
      </c>
      <c r="J160" s="36">
        <v>0</v>
      </c>
      <c r="K160" s="36">
        <v>0</v>
      </c>
      <c r="L160" s="35">
        <v>0</v>
      </c>
      <c r="M160" s="36">
        <v>0</v>
      </c>
      <c r="N160" s="35">
        <v>0</v>
      </c>
      <c r="O160" s="35">
        <v>0</v>
      </c>
      <c r="P160" s="35">
        <v>0</v>
      </c>
      <c r="Q160" s="36">
        <v>0</v>
      </c>
      <c r="R160" s="35">
        <v>0</v>
      </c>
      <c r="S160" s="35">
        <v>0</v>
      </c>
      <c r="T160" s="36">
        <v>0</v>
      </c>
      <c r="U160" s="35">
        <v>0</v>
      </c>
      <c r="V160" s="36">
        <v>0</v>
      </c>
      <c r="W160" s="36">
        <v>0</v>
      </c>
      <c r="X160" s="35">
        <v>0</v>
      </c>
      <c r="Y160" s="36">
        <v>0</v>
      </c>
      <c r="Z160" s="35">
        <v>0</v>
      </c>
      <c r="AA160" s="36">
        <v>0</v>
      </c>
      <c r="AB160" s="36">
        <v>0</v>
      </c>
      <c r="AC160" s="35">
        <v>0</v>
      </c>
    </row>
    <row r="161" spans="1:29" x14ac:dyDescent="0.3">
      <c r="A161" s="27" t="s">
        <v>261</v>
      </c>
      <c r="B161" s="35">
        <v>0</v>
      </c>
      <c r="C161" s="36">
        <v>0</v>
      </c>
      <c r="D161" s="35">
        <v>0</v>
      </c>
      <c r="E161" s="36">
        <v>0</v>
      </c>
      <c r="F161" s="36">
        <v>0</v>
      </c>
      <c r="G161" s="35">
        <v>0</v>
      </c>
      <c r="H161" s="36">
        <v>0</v>
      </c>
      <c r="I161" s="35">
        <v>0</v>
      </c>
      <c r="J161" s="36">
        <v>0</v>
      </c>
      <c r="K161" s="36">
        <v>0</v>
      </c>
      <c r="L161" s="35">
        <v>0</v>
      </c>
      <c r="M161" s="36">
        <v>0</v>
      </c>
      <c r="N161" s="35">
        <v>0</v>
      </c>
      <c r="O161" s="35">
        <v>0</v>
      </c>
      <c r="P161" s="35">
        <v>0</v>
      </c>
      <c r="Q161" s="36">
        <v>0</v>
      </c>
      <c r="R161" s="29">
        <v>1</v>
      </c>
      <c r="S161" s="35">
        <v>0</v>
      </c>
      <c r="T161" s="36">
        <v>0</v>
      </c>
      <c r="U161" s="35">
        <v>0</v>
      </c>
      <c r="V161" s="36">
        <v>0</v>
      </c>
      <c r="W161" s="36">
        <v>0</v>
      </c>
      <c r="X161" s="35">
        <v>0</v>
      </c>
      <c r="Y161" s="36">
        <v>0</v>
      </c>
      <c r="Z161" s="35">
        <v>0</v>
      </c>
      <c r="AA161" s="36">
        <v>0</v>
      </c>
      <c r="AB161" s="36">
        <v>0</v>
      </c>
      <c r="AC161" s="35">
        <v>0</v>
      </c>
    </row>
    <row r="162" spans="1:29" x14ac:dyDescent="0.3">
      <c r="A162" s="27" t="s">
        <v>262</v>
      </c>
      <c r="B162" s="35">
        <v>0</v>
      </c>
      <c r="C162" s="36">
        <v>0</v>
      </c>
      <c r="D162" s="35">
        <v>0</v>
      </c>
      <c r="E162" s="36">
        <v>0</v>
      </c>
      <c r="F162" s="36">
        <v>0</v>
      </c>
      <c r="G162" s="35">
        <v>0</v>
      </c>
      <c r="H162" s="36">
        <v>0</v>
      </c>
      <c r="I162" s="35">
        <v>0</v>
      </c>
      <c r="J162" s="36">
        <v>0</v>
      </c>
      <c r="K162" s="36">
        <v>0</v>
      </c>
      <c r="L162" s="35">
        <v>0</v>
      </c>
      <c r="M162" s="36">
        <v>0</v>
      </c>
      <c r="N162" s="35">
        <v>0</v>
      </c>
      <c r="O162" s="35">
        <v>0</v>
      </c>
      <c r="P162" s="35">
        <v>0</v>
      </c>
      <c r="Q162" s="36">
        <v>0</v>
      </c>
      <c r="R162" s="35">
        <v>0</v>
      </c>
      <c r="S162" s="35">
        <v>0</v>
      </c>
      <c r="T162" s="36">
        <v>0</v>
      </c>
      <c r="U162" s="35">
        <v>0</v>
      </c>
      <c r="V162" s="36">
        <v>0</v>
      </c>
      <c r="W162" s="36">
        <v>0</v>
      </c>
      <c r="X162" s="35">
        <v>0</v>
      </c>
      <c r="Y162" s="36">
        <v>0</v>
      </c>
      <c r="Z162" s="35">
        <v>0</v>
      </c>
      <c r="AA162" s="36">
        <v>0</v>
      </c>
      <c r="AB162" s="36">
        <v>0</v>
      </c>
      <c r="AC162" s="35">
        <v>0</v>
      </c>
    </row>
    <row r="163" spans="1:29" x14ac:dyDescent="0.3">
      <c r="A163" s="27" t="s">
        <v>263</v>
      </c>
      <c r="B163" s="35">
        <v>0</v>
      </c>
      <c r="C163" s="36">
        <v>0</v>
      </c>
      <c r="D163" s="35">
        <v>0</v>
      </c>
      <c r="E163" s="36">
        <v>0</v>
      </c>
      <c r="F163" s="36">
        <v>0</v>
      </c>
      <c r="G163" s="35">
        <v>0</v>
      </c>
      <c r="H163" s="36">
        <v>0</v>
      </c>
      <c r="I163" s="35">
        <v>0</v>
      </c>
      <c r="J163" s="36">
        <v>0</v>
      </c>
      <c r="K163" s="36">
        <v>0</v>
      </c>
      <c r="L163" s="35">
        <v>0</v>
      </c>
      <c r="M163" s="36">
        <v>0</v>
      </c>
      <c r="N163" s="35">
        <v>0</v>
      </c>
      <c r="O163" s="35">
        <v>0</v>
      </c>
      <c r="P163" s="35">
        <v>0</v>
      </c>
      <c r="Q163" s="36">
        <v>0</v>
      </c>
      <c r="R163" s="35">
        <v>0</v>
      </c>
      <c r="S163" s="35">
        <v>0</v>
      </c>
      <c r="T163" s="36">
        <v>0</v>
      </c>
      <c r="U163" s="35">
        <v>0</v>
      </c>
      <c r="V163" s="36">
        <v>0</v>
      </c>
      <c r="W163" s="36">
        <v>0</v>
      </c>
      <c r="X163" s="35">
        <v>0</v>
      </c>
      <c r="Y163" s="36">
        <v>0</v>
      </c>
      <c r="Z163" s="35">
        <v>0</v>
      </c>
      <c r="AA163" s="36">
        <v>0</v>
      </c>
      <c r="AB163" s="36">
        <v>0</v>
      </c>
      <c r="AC163" s="35">
        <v>0</v>
      </c>
    </row>
    <row r="164" spans="1:29" x14ac:dyDescent="0.3">
      <c r="A164" s="27" t="s">
        <v>264</v>
      </c>
      <c r="B164" s="35">
        <v>0</v>
      </c>
      <c r="C164" s="34">
        <v>1</v>
      </c>
      <c r="D164" s="35">
        <v>0</v>
      </c>
      <c r="E164" s="34">
        <v>2</v>
      </c>
      <c r="F164" s="36">
        <v>0</v>
      </c>
      <c r="G164" s="29">
        <v>1</v>
      </c>
      <c r="H164" s="34">
        <v>4</v>
      </c>
      <c r="I164" s="29">
        <v>1</v>
      </c>
      <c r="J164" s="34">
        <v>1</v>
      </c>
      <c r="K164" s="34">
        <v>2</v>
      </c>
      <c r="L164" s="29">
        <v>2</v>
      </c>
      <c r="M164" s="36">
        <v>0</v>
      </c>
      <c r="N164" s="29">
        <v>7</v>
      </c>
      <c r="O164" s="29">
        <v>1</v>
      </c>
      <c r="P164" s="35">
        <v>0</v>
      </c>
      <c r="Q164" s="36">
        <v>0</v>
      </c>
      <c r="R164" s="29">
        <v>2</v>
      </c>
      <c r="S164" s="35">
        <v>0</v>
      </c>
      <c r="T164" s="36">
        <v>0</v>
      </c>
      <c r="U164" s="35">
        <v>0</v>
      </c>
      <c r="V164" s="36">
        <v>0</v>
      </c>
      <c r="W164" s="36">
        <v>0</v>
      </c>
      <c r="X164" s="35">
        <v>0</v>
      </c>
      <c r="Y164" s="36">
        <v>0</v>
      </c>
      <c r="Z164" s="35">
        <v>0</v>
      </c>
      <c r="AA164" s="36">
        <v>0</v>
      </c>
      <c r="AB164" s="36">
        <v>0</v>
      </c>
      <c r="AC164" s="35">
        <v>0</v>
      </c>
    </row>
    <row r="165" spans="1:29" x14ac:dyDescent="0.3">
      <c r="A165" s="27" t="s">
        <v>265</v>
      </c>
      <c r="B165" s="35">
        <v>0</v>
      </c>
      <c r="C165" s="36">
        <v>0</v>
      </c>
      <c r="D165" s="29">
        <v>1</v>
      </c>
      <c r="E165" s="36">
        <v>0</v>
      </c>
      <c r="F165" s="36">
        <v>0</v>
      </c>
      <c r="G165" s="35">
        <v>0</v>
      </c>
      <c r="H165" s="36">
        <v>0</v>
      </c>
      <c r="I165" s="35">
        <v>0</v>
      </c>
      <c r="J165" s="36">
        <v>0</v>
      </c>
      <c r="K165" s="34">
        <v>1</v>
      </c>
      <c r="L165" s="35">
        <v>0</v>
      </c>
      <c r="M165" s="36">
        <v>0</v>
      </c>
      <c r="N165" s="35">
        <v>0</v>
      </c>
      <c r="O165" s="35">
        <v>0</v>
      </c>
      <c r="P165" s="35">
        <v>0</v>
      </c>
      <c r="Q165" s="36">
        <v>0</v>
      </c>
      <c r="R165" s="35">
        <v>0</v>
      </c>
      <c r="S165" s="35">
        <v>0</v>
      </c>
      <c r="T165" s="36">
        <v>0</v>
      </c>
      <c r="U165" s="35">
        <v>0</v>
      </c>
      <c r="V165" s="36">
        <v>0</v>
      </c>
      <c r="W165" s="36">
        <v>0</v>
      </c>
      <c r="X165" s="35">
        <v>0</v>
      </c>
      <c r="Y165" s="36">
        <v>0</v>
      </c>
      <c r="Z165" s="35">
        <v>0</v>
      </c>
      <c r="AA165" s="36">
        <v>0</v>
      </c>
      <c r="AB165" s="36">
        <v>0</v>
      </c>
      <c r="AC165" s="35">
        <v>0</v>
      </c>
    </row>
    <row r="166" spans="1:29" x14ac:dyDescent="0.3">
      <c r="A166" s="21" t="s">
        <v>266</v>
      </c>
      <c r="B166" s="35">
        <v>0</v>
      </c>
      <c r="C166" s="36">
        <v>0</v>
      </c>
      <c r="D166" s="35">
        <v>0</v>
      </c>
      <c r="E166" s="36">
        <v>0</v>
      </c>
      <c r="F166" s="36">
        <v>0</v>
      </c>
      <c r="G166" s="35">
        <v>0</v>
      </c>
      <c r="H166" s="36">
        <v>0</v>
      </c>
      <c r="I166" s="35">
        <v>0</v>
      </c>
      <c r="J166" s="36">
        <v>0</v>
      </c>
      <c r="K166" s="36">
        <v>0</v>
      </c>
      <c r="L166" s="35">
        <v>0</v>
      </c>
      <c r="M166" s="36">
        <v>0</v>
      </c>
      <c r="N166" s="35">
        <v>0</v>
      </c>
      <c r="O166" s="35">
        <v>0</v>
      </c>
      <c r="P166" s="35">
        <v>0</v>
      </c>
      <c r="Q166" s="36">
        <v>0</v>
      </c>
      <c r="R166" s="29">
        <v>1</v>
      </c>
      <c r="S166" s="29">
        <v>2</v>
      </c>
      <c r="T166" s="34">
        <v>1</v>
      </c>
      <c r="U166" s="29">
        <v>9</v>
      </c>
      <c r="V166" s="36">
        <v>0</v>
      </c>
      <c r="W166" s="34">
        <v>5</v>
      </c>
      <c r="X166" s="35">
        <v>0</v>
      </c>
      <c r="Y166" s="34">
        <v>1</v>
      </c>
      <c r="Z166" s="29">
        <v>1</v>
      </c>
      <c r="AA166" s="34">
        <v>2</v>
      </c>
      <c r="AB166" s="34">
        <v>8</v>
      </c>
      <c r="AC166" s="29">
        <v>6</v>
      </c>
    </row>
    <row r="167" spans="1:29" x14ac:dyDescent="0.3">
      <c r="A167" s="21" t="s">
        <v>267</v>
      </c>
      <c r="B167" s="35">
        <v>0</v>
      </c>
      <c r="C167" s="36">
        <v>0</v>
      </c>
      <c r="D167" s="35">
        <v>0</v>
      </c>
      <c r="E167" s="36">
        <v>0</v>
      </c>
      <c r="F167" s="36">
        <v>0</v>
      </c>
      <c r="G167" s="35">
        <v>0</v>
      </c>
      <c r="H167" s="36">
        <v>0</v>
      </c>
      <c r="I167" s="35">
        <v>0</v>
      </c>
      <c r="J167" s="36">
        <v>0</v>
      </c>
      <c r="K167" s="36">
        <v>0</v>
      </c>
      <c r="L167" s="35">
        <v>0</v>
      </c>
      <c r="M167" s="36">
        <v>0</v>
      </c>
      <c r="N167" s="35">
        <v>0</v>
      </c>
      <c r="O167" s="35">
        <v>0</v>
      </c>
      <c r="P167" s="35">
        <v>0</v>
      </c>
      <c r="Q167" s="36">
        <v>0</v>
      </c>
      <c r="R167" s="35">
        <v>0</v>
      </c>
      <c r="S167" s="35">
        <v>0</v>
      </c>
      <c r="T167" s="36">
        <v>0</v>
      </c>
      <c r="U167" s="35">
        <v>0</v>
      </c>
      <c r="V167" s="36">
        <v>0</v>
      </c>
      <c r="W167" s="36">
        <v>0</v>
      </c>
      <c r="X167" s="35">
        <v>0</v>
      </c>
      <c r="Y167" s="36">
        <v>0</v>
      </c>
      <c r="Z167" s="35">
        <v>0</v>
      </c>
      <c r="AA167" s="36">
        <v>0</v>
      </c>
      <c r="AB167" s="36">
        <v>0</v>
      </c>
      <c r="AC167" s="35">
        <v>0</v>
      </c>
    </row>
    <row r="168" spans="1:29" x14ac:dyDescent="0.3">
      <c r="A168" s="21" t="s">
        <v>268</v>
      </c>
      <c r="B168" s="35">
        <v>0</v>
      </c>
      <c r="C168" s="36">
        <v>0</v>
      </c>
      <c r="D168" s="35">
        <v>0</v>
      </c>
      <c r="E168" s="36">
        <v>0</v>
      </c>
      <c r="F168" s="36">
        <v>0</v>
      </c>
      <c r="G168" s="35">
        <v>0</v>
      </c>
      <c r="H168" s="36">
        <v>0</v>
      </c>
      <c r="I168" s="35">
        <v>0</v>
      </c>
      <c r="J168" s="36">
        <v>0</v>
      </c>
      <c r="K168" s="36">
        <v>0</v>
      </c>
      <c r="L168" s="35">
        <v>0</v>
      </c>
      <c r="M168" s="36">
        <v>0</v>
      </c>
      <c r="N168" s="35">
        <v>0</v>
      </c>
      <c r="O168" s="35">
        <v>0</v>
      </c>
      <c r="P168" s="35">
        <v>0</v>
      </c>
      <c r="Q168" s="36">
        <v>0</v>
      </c>
      <c r="R168" s="35">
        <v>0</v>
      </c>
      <c r="S168" s="35">
        <v>0</v>
      </c>
      <c r="T168" s="36">
        <v>0</v>
      </c>
      <c r="U168" s="35">
        <v>0</v>
      </c>
      <c r="V168" s="36">
        <v>0</v>
      </c>
      <c r="W168" s="36">
        <v>0</v>
      </c>
      <c r="X168" s="35">
        <v>0</v>
      </c>
      <c r="Y168" s="36">
        <v>0</v>
      </c>
      <c r="Z168" s="35">
        <v>0</v>
      </c>
      <c r="AA168" s="36">
        <v>0</v>
      </c>
      <c r="AB168" s="36">
        <v>0</v>
      </c>
      <c r="AC168" s="35">
        <v>0</v>
      </c>
    </row>
    <row r="169" spans="1:29" x14ac:dyDescent="0.3">
      <c r="A169" s="27" t="s">
        <v>269</v>
      </c>
      <c r="B169" s="35">
        <v>0</v>
      </c>
      <c r="C169" s="36">
        <v>0</v>
      </c>
      <c r="D169" s="29">
        <v>1</v>
      </c>
      <c r="E169" s="36">
        <v>0</v>
      </c>
      <c r="F169" s="36">
        <v>0</v>
      </c>
      <c r="G169" s="35">
        <v>0</v>
      </c>
      <c r="H169" s="36">
        <v>0</v>
      </c>
      <c r="I169" s="35">
        <v>0</v>
      </c>
      <c r="J169" s="36">
        <v>0</v>
      </c>
      <c r="K169" s="36">
        <v>0</v>
      </c>
      <c r="L169" s="35">
        <v>0</v>
      </c>
      <c r="M169" s="36">
        <v>0</v>
      </c>
      <c r="N169" s="35">
        <v>0</v>
      </c>
      <c r="O169" s="35">
        <v>0</v>
      </c>
      <c r="P169" s="29">
        <v>11</v>
      </c>
      <c r="Q169" s="34">
        <v>9</v>
      </c>
      <c r="R169" s="35">
        <v>0</v>
      </c>
      <c r="S169" s="29">
        <v>1</v>
      </c>
      <c r="T169" s="36">
        <v>0</v>
      </c>
      <c r="U169" s="35">
        <v>0</v>
      </c>
      <c r="V169" s="36">
        <v>0</v>
      </c>
      <c r="W169" s="36">
        <v>0</v>
      </c>
      <c r="X169" s="35">
        <v>0</v>
      </c>
      <c r="Y169" s="36">
        <v>0</v>
      </c>
      <c r="Z169" s="35">
        <v>0</v>
      </c>
      <c r="AA169" s="36">
        <v>0</v>
      </c>
      <c r="AB169" s="34">
        <v>2</v>
      </c>
      <c r="AC169" s="35">
        <v>0</v>
      </c>
    </row>
    <row r="170" spans="1:29" x14ac:dyDescent="0.3">
      <c r="A170" s="27" t="s">
        <v>270</v>
      </c>
      <c r="B170" s="35">
        <v>0</v>
      </c>
      <c r="C170" s="36">
        <v>0</v>
      </c>
      <c r="D170" s="35">
        <v>0</v>
      </c>
      <c r="E170" s="36">
        <v>0</v>
      </c>
      <c r="F170" s="36">
        <v>0</v>
      </c>
      <c r="G170" s="35">
        <v>0</v>
      </c>
      <c r="H170" s="34">
        <v>1</v>
      </c>
      <c r="I170" s="35">
        <v>0</v>
      </c>
      <c r="J170" s="36">
        <v>0</v>
      </c>
      <c r="K170" s="34">
        <v>1</v>
      </c>
      <c r="L170" s="35">
        <v>0</v>
      </c>
      <c r="M170" s="36">
        <v>0</v>
      </c>
      <c r="N170" s="35">
        <v>0</v>
      </c>
      <c r="O170" s="35">
        <v>0</v>
      </c>
      <c r="P170" s="35">
        <v>0</v>
      </c>
      <c r="Q170" s="36">
        <v>0</v>
      </c>
      <c r="R170" s="35">
        <v>0</v>
      </c>
      <c r="S170" s="35">
        <v>0</v>
      </c>
      <c r="T170" s="36">
        <v>0</v>
      </c>
      <c r="U170" s="35">
        <v>0</v>
      </c>
      <c r="V170" s="36">
        <v>0</v>
      </c>
      <c r="W170" s="36">
        <v>0</v>
      </c>
      <c r="X170" s="35">
        <v>0</v>
      </c>
      <c r="Y170" s="36">
        <v>0</v>
      </c>
      <c r="Z170" s="35">
        <v>0</v>
      </c>
      <c r="AA170" s="36">
        <v>0</v>
      </c>
      <c r="AB170" s="36">
        <v>0</v>
      </c>
      <c r="AC170" s="35">
        <v>0</v>
      </c>
    </row>
    <row r="171" spans="1:29" x14ac:dyDescent="0.3">
      <c r="A171" s="27" t="s">
        <v>271</v>
      </c>
      <c r="B171" s="35">
        <v>0</v>
      </c>
      <c r="C171" s="36">
        <v>0</v>
      </c>
      <c r="D171" s="35">
        <v>0</v>
      </c>
      <c r="E171" s="36">
        <v>0</v>
      </c>
      <c r="F171" s="36">
        <v>0</v>
      </c>
      <c r="G171" s="35">
        <v>0</v>
      </c>
      <c r="H171" s="34">
        <v>6</v>
      </c>
      <c r="I171" s="35">
        <v>0</v>
      </c>
      <c r="J171" s="36">
        <v>0</v>
      </c>
      <c r="K171" s="36">
        <v>0</v>
      </c>
      <c r="L171" s="35">
        <v>0</v>
      </c>
      <c r="M171" s="36">
        <v>0</v>
      </c>
      <c r="N171" s="35">
        <v>0</v>
      </c>
      <c r="O171" s="35">
        <v>0</v>
      </c>
      <c r="P171" s="35">
        <v>0</v>
      </c>
      <c r="Q171" s="36">
        <v>0</v>
      </c>
      <c r="R171" s="35">
        <v>0</v>
      </c>
      <c r="S171" s="35">
        <v>0</v>
      </c>
      <c r="T171" s="36">
        <v>0</v>
      </c>
      <c r="U171" s="35">
        <v>0</v>
      </c>
      <c r="V171" s="36">
        <v>0</v>
      </c>
      <c r="W171" s="36">
        <v>0</v>
      </c>
      <c r="X171" s="35">
        <v>0</v>
      </c>
      <c r="Y171" s="36">
        <v>0</v>
      </c>
      <c r="Z171" s="35">
        <v>0</v>
      </c>
      <c r="AA171" s="36">
        <v>0</v>
      </c>
      <c r="AB171" s="36">
        <v>0</v>
      </c>
      <c r="AC171" s="35">
        <v>0</v>
      </c>
    </row>
    <row r="172" spans="1:29" x14ac:dyDescent="0.3">
      <c r="A172" s="27" t="s">
        <v>272</v>
      </c>
      <c r="B172" s="35">
        <v>0</v>
      </c>
      <c r="C172" s="36">
        <v>0</v>
      </c>
      <c r="D172" s="35">
        <v>0</v>
      </c>
      <c r="E172" s="36">
        <v>0</v>
      </c>
      <c r="F172" s="36">
        <v>0</v>
      </c>
      <c r="G172" s="35">
        <v>0</v>
      </c>
      <c r="H172" s="36">
        <v>0</v>
      </c>
      <c r="I172" s="35">
        <v>0</v>
      </c>
      <c r="J172" s="36">
        <v>0</v>
      </c>
      <c r="K172" s="36">
        <v>0</v>
      </c>
      <c r="L172" s="35">
        <v>0</v>
      </c>
      <c r="M172" s="36">
        <v>0</v>
      </c>
      <c r="N172" s="35">
        <v>0</v>
      </c>
      <c r="O172" s="35">
        <v>0</v>
      </c>
      <c r="P172" s="35">
        <v>0</v>
      </c>
      <c r="Q172" s="36">
        <v>0</v>
      </c>
      <c r="R172" s="35">
        <v>0</v>
      </c>
      <c r="S172" s="35">
        <v>0</v>
      </c>
      <c r="T172" s="36">
        <v>0</v>
      </c>
      <c r="U172" s="29">
        <v>1</v>
      </c>
      <c r="V172" s="36">
        <v>0</v>
      </c>
      <c r="W172" s="36">
        <v>0</v>
      </c>
      <c r="X172" s="35">
        <v>0</v>
      </c>
      <c r="Y172" s="36">
        <v>0</v>
      </c>
      <c r="Z172" s="35">
        <v>0</v>
      </c>
      <c r="AA172" s="36">
        <v>0</v>
      </c>
      <c r="AB172" s="36">
        <v>0</v>
      </c>
      <c r="AC172" s="29">
        <v>2</v>
      </c>
    </row>
    <row r="173" spans="1:29" x14ac:dyDescent="0.3">
      <c r="A173" s="27" t="s">
        <v>273</v>
      </c>
      <c r="B173" s="35">
        <v>0</v>
      </c>
      <c r="C173" s="36">
        <v>0</v>
      </c>
      <c r="D173" s="35">
        <v>0</v>
      </c>
      <c r="E173" s="36">
        <v>0</v>
      </c>
      <c r="F173" s="36">
        <v>0</v>
      </c>
      <c r="G173" s="35">
        <v>0</v>
      </c>
      <c r="H173" s="36">
        <v>0</v>
      </c>
      <c r="I173" s="35">
        <v>0</v>
      </c>
      <c r="J173" s="36">
        <v>0</v>
      </c>
      <c r="K173" s="36">
        <v>0</v>
      </c>
      <c r="L173" s="35">
        <v>0</v>
      </c>
      <c r="M173" s="36">
        <v>0</v>
      </c>
      <c r="N173" s="35">
        <v>0</v>
      </c>
      <c r="O173" s="35">
        <v>0</v>
      </c>
      <c r="P173" s="35">
        <v>0</v>
      </c>
      <c r="Q173" s="36">
        <v>0</v>
      </c>
      <c r="R173" s="35">
        <v>0</v>
      </c>
      <c r="S173" s="35">
        <v>0</v>
      </c>
      <c r="T173" s="36">
        <v>0</v>
      </c>
      <c r="U173" s="35">
        <v>0</v>
      </c>
      <c r="V173" s="36">
        <v>0</v>
      </c>
      <c r="W173" s="36">
        <v>0</v>
      </c>
      <c r="X173" s="35">
        <v>0</v>
      </c>
      <c r="Y173" s="36">
        <v>0</v>
      </c>
      <c r="Z173" s="35">
        <v>0</v>
      </c>
      <c r="AA173" s="36">
        <v>0</v>
      </c>
      <c r="AB173" s="36">
        <v>0</v>
      </c>
      <c r="AC173" s="35">
        <v>0</v>
      </c>
    </row>
    <row r="174" spans="1:29" x14ac:dyDescent="0.3">
      <c r="A174" s="27" t="s">
        <v>274</v>
      </c>
      <c r="B174" s="35">
        <v>0</v>
      </c>
      <c r="C174" s="36">
        <v>0</v>
      </c>
      <c r="D174" s="35">
        <v>0</v>
      </c>
      <c r="E174" s="36">
        <v>0</v>
      </c>
      <c r="F174" s="36">
        <v>0</v>
      </c>
      <c r="G174" s="35">
        <v>0</v>
      </c>
      <c r="H174" s="36">
        <v>0</v>
      </c>
      <c r="I174" s="35">
        <v>0</v>
      </c>
      <c r="J174" s="36">
        <v>0</v>
      </c>
      <c r="K174" s="36">
        <v>0</v>
      </c>
      <c r="L174" s="35">
        <v>0</v>
      </c>
      <c r="M174" s="36">
        <v>0</v>
      </c>
      <c r="N174" s="35">
        <v>0</v>
      </c>
      <c r="O174" s="35">
        <v>0</v>
      </c>
      <c r="P174" s="35">
        <v>0</v>
      </c>
      <c r="Q174" s="36">
        <v>0</v>
      </c>
      <c r="R174" s="35">
        <v>0</v>
      </c>
      <c r="S174" s="35">
        <v>0</v>
      </c>
      <c r="T174" s="36">
        <v>0</v>
      </c>
      <c r="U174" s="35">
        <v>0</v>
      </c>
      <c r="V174" s="36">
        <v>0</v>
      </c>
      <c r="W174" s="36">
        <v>0</v>
      </c>
      <c r="X174" s="35">
        <v>0</v>
      </c>
      <c r="Y174" s="36">
        <v>0</v>
      </c>
      <c r="Z174" s="35">
        <v>0</v>
      </c>
      <c r="AA174" s="36">
        <v>0</v>
      </c>
      <c r="AB174" s="34">
        <v>5</v>
      </c>
      <c r="AC174" s="35">
        <v>0</v>
      </c>
    </row>
    <row r="175" spans="1:29" x14ac:dyDescent="0.3">
      <c r="A175" s="27" t="s">
        <v>275</v>
      </c>
      <c r="B175" s="35">
        <v>0</v>
      </c>
      <c r="C175" s="34">
        <v>11</v>
      </c>
      <c r="D175" s="29">
        <v>3</v>
      </c>
      <c r="E175" s="36">
        <v>0</v>
      </c>
      <c r="F175" s="36">
        <v>0</v>
      </c>
      <c r="G175" s="29">
        <v>1</v>
      </c>
      <c r="H175" s="34">
        <v>33</v>
      </c>
      <c r="I175" s="29">
        <v>13</v>
      </c>
      <c r="J175" s="36">
        <v>0</v>
      </c>
      <c r="K175" s="34">
        <v>9</v>
      </c>
      <c r="L175" s="29">
        <v>15</v>
      </c>
      <c r="M175" s="34">
        <v>3</v>
      </c>
      <c r="N175" s="35">
        <v>0</v>
      </c>
      <c r="O175" s="29">
        <v>27</v>
      </c>
      <c r="P175" s="35">
        <v>0</v>
      </c>
      <c r="Q175" s="34">
        <v>8</v>
      </c>
      <c r="R175" s="35">
        <v>0</v>
      </c>
      <c r="S175" s="29">
        <v>1</v>
      </c>
      <c r="T175" s="34">
        <v>6</v>
      </c>
      <c r="U175" s="29">
        <v>1</v>
      </c>
      <c r="V175" s="36">
        <v>0</v>
      </c>
      <c r="W175" s="36">
        <v>0</v>
      </c>
      <c r="X175" s="29">
        <v>1</v>
      </c>
      <c r="Y175" s="36">
        <v>0</v>
      </c>
      <c r="Z175" s="29">
        <v>1</v>
      </c>
      <c r="AA175" s="36">
        <v>0</v>
      </c>
      <c r="AB175" s="34">
        <v>9</v>
      </c>
      <c r="AC175" s="29">
        <v>1</v>
      </c>
    </row>
    <row r="176" spans="1:29" x14ac:dyDescent="0.3">
      <c r="A176" s="27" t="s">
        <v>276</v>
      </c>
      <c r="B176" s="35">
        <v>0</v>
      </c>
      <c r="C176" s="36">
        <v>0</v>
      </c>
      <c r="D176" s="35">
        <v>0</v>
      </c>
      <c r="E176" s="36">
        <v>0</v>
      </c>
      <c r="F176" s="36">
        <v>0</v>
      </c>
      <c r="G176" s="35">
        <v>0</v>
      </c>
      <c r="H176" s="36">
        <v>0</v>
      </c>
      <c r="I176" s="35">
        <v>0</v>
      </c>
      <c r="J176" s="36">
        <v>0</v>
      </c>
      <c r="K176" s="36">
        <v>0</v>
      </c>
      <c r="L176" s="35">
        <v>0</v>
      </c>
      <c r="M176" s="36">
        <v>0</v>
      </c>
      <c r="N176" s="35">
        <v>0</v>
      </c>
      <c r="O176" s="35">
        <v>0</v>
      </c>
      <c r="P176" s="35">
        <v>0</v>
      </c>
      <c r="Q176" s="36">
        <v>0</v>
      </c>
      <c r="R176" s="35">
        <v>0</v>
      </c>
      <c r="S176" s="35">
        <v>0</v>
      </c>
      <c r="T176" s="36">
        <v>0</v>
      </c>
      <c r="U176" s="35">
        <v>0</v>
      </c>
      <c r="V176" s="36">
        <v>0</v>
      </c>
      <c r="W176" s="36">
        <v>0</v>
      </c>
      <c r="X176" s="35">
        <v>0</v>
      </c>
      <c r="Y176" s="36">
        <v>0</v>
      </c>
      <c r="Z176" s="35">
        <v>0</v>
      </c>
      <c r="AA176" s="36">
        <v>0</v>
      </c>
      <c r="AB176" s="36">
        <v>0</v>
      </c>
      <c r="AC176" s="35">
        <v>0</v>
      </c>
    </row>
    <row r="177" spans="1:29" x14ac:dyDescent="0.3">
      <c r="A177" s="27" t="s">
        <v>277</v>
      </c>
      <c r="B177" s="35">
        <v>0</v>
      </c>
      <c r="C177" s="36">
        <v>0</v>
      </c>
      <c r="D177" s="35">
        <v>0</v>
      </c>
      <c r="E177" s="36">
        <v>0</v>
      </c>
      <c r="F177" s="36">
        <v>0</v>
      </c>
      <c r="G177" s="35">
        <v>0</v>
      </c>
      <c r="H177" s="36">
        <v>0</v>
      </c>
      <c r="I177" s="35">
        <v>0</v>
      </c>
      <c r="J177" s="36">
        <v>0</v>
      </c>
      <c r="K177" s="36">
        <v>0</v>
      </c>
      <c r="L177" s="35">
        <v>0</v>
      </c>
      <c r="M177" s="36">
        <v>0</v>
      </c>
      <c r="N177" s="35">
        <v>0</v>
      </c>
      <c r="O177" s="35">
        <v>0</v>
      </c>
      <c r="P177" s="29">
        <v>1</v>
      </c>
      <c r="Q177" s="36">
        <v>0</v>
      </c>
      <c r="R177" s="35">
        <v>0</v>
      </c>
      <c r="S177" s="35">
        <v>0</v>
      </c>
      <c r="T177" s="36">
        <v>0</v>
      </c>
      <c r="U177" s="35">
        <v>0</v>
      </c>
      <c r="V177" s="36">
        <v>0</v>
      </c>
      <c r="W177" s="36">
        <v>0</v>
      </c>
      <c r="X177" s="35">
        <v>0</v>
      </c>
      <c r="Y177" s="36">
        <v>0</v>
      </c>
      <c r="Z177" s="35">
        <v>0</v>
      </c>
      <c r="AA177" s="36">
        <v>0</v>
      </c>
      <c r="AB177" s="36">
        <v>0</v>
      </c>
      <c r="AC177" s="35">
        <v>0</v>
      </c>
    </row>
    <row r="178" spans="1:29" x14ac:dyDescent="0.3">
      <c r="A178" s="27" t="s">
        <v>278</v>
      </c>
      <c r="B178" s="35">
        <v>0</v>
      </c>
      <c r="C178" s="36">
        <v>0</v>
      </c>
      <c r="D178" s="35">
        <v>0</v>
      </c>
      <c r="E178" s="36">
        <v>0</v>
      </c>
      <c r="F178" s="36">
        <v>0</v>
      </c>
      <c r="G178" s="35">
        <v>0</v>
      </c>
      <c r="H178" s="36">
        <v>0</v>
      </c>
      <c r="I178" s="35">
        <v>0</v>
      </c>
      <c r="J178" s="36">
        <v>0</v>
      </c>
      <c r="K178" s="36">
        <v>0</v>
      </c>
      <c r="L178" s="35">
        <v>0</v>
      </c>
      <c r="M178" s="36">
        <v>0</v>
      </c>
      <c r="N178" s="35">
        <v>0</v>
      </c>
      <c r="O178" s="35">
        <v>0</v>
      </c>
      <c r="P178" s="35">
        <v>0</v>
      </c>
      <c r="Q178" s="36">
        <v>0</v>
      </c>
      <c r="R178" s="35">
        <v>0</v>
      </c>
      <c r="S178" s="35">
        <v>0</v>
      </c>
      <c r="T178" s="36">
        <v>0</v>
      </c>
      <c r="U178" s="35">
        <v>0</v>
      </c>
      <c r="V178" s="36">
        <v>0</v>
      </c>
      <c r="W178" s="34">
        <v>1</v>
      </c>
      <c r="X178" s="35">
        <v>0</v>
      </c>
      <c r="Y178" s="36">
        <v>0</v>
      </c>
      <c r="Z178" s="35">
        <v>0</v>
      </c>
      <c r="AA178" s="36">
        <v>0</v>
      </c>
      <c r="AB178" s="36">
        <v>0</v>
      </c>
      <c r="AC178" s="35">
        <v>0</v>
      </c>
    </row>
    <row r="179" spans="1:29" x14ac:dyDescent="0.3">
      <c r="A179" s="27" t="s">
        <v>279</v>
      </c>
      <c r="B179" s="35">
        <v>0</v>
      </c>
      <c r="C179" s="36">
        <v>0</v>
      </c>
      <c r="D179" s="35">
        <v>0</v>
      </c>
      <c r="E179" s="36">
        <v>0</v>
      </c>
      <c r="F179" s="36">
        <v>0</v>
      </c>
      <c r="G179" s="35">
        <v>0</v>
      </c>
      <c r="H179" s="36">
        <v>0</v>
      </c>
      <c r="I179" s="35">
        <v>0</v>
      </c>
      <c r="J179" s="36">
        <v>0</v>
      </c>
      <c r="K179" s="36">
        <v>0</v>
      </c>
      <c r="L179" s="35">
        <v>0</v>
      </c>
      <c r="M179" s="36">
        <v>0</v>
      </c>
      <c r="N179" s="35">
        <v>0</v>
      </c>
      <c r="O179" s="35">
        <v>0</v>
      </c>
      <c r="P179" s="35">
        <v>0</v>
      </c>
      <c r="Q179" s="36">
        <v>0</v>
      </c>
      <c r="R179" s="35">
        <v>0</v>
      </c>
      <c r="S179" s="35">
        <v>0</v>
      </c>
      <c r="T179" s="36">
        <v>0</v>
      </c>
      <c r="U179" s="35">
        <v>0</v>
      </c>
      <c r="V179" s="36">
        <v>0</v>
      </c>
      <c r="W179" s="36">
        <v>0</v>
      </c>
      <c r="X179" s="35">
        <v>0</v>
      </c>
      <c r="Y179" s="36">
        <v>0</v>
      </c>
      <c r="Z179" s="35">
        <v>0</v>
      </c>
      <c r="AA179" s="36">
        <v>0</v>
      </c>
      <c r="AB179" s="34">
        <v>1</v>
      </c>
      <c r="AC179" s="35">
        <v>0</v>
      </c>
    </row>
    <row r="180" spans="1:29" x14ac:dyDescent="0.3">
      <c r="A180" s="27" t="s">
        <v>280</v>
      </c>
      <c r="B180" s="35">
        <v>0</v>
      </c>
      <c r="C180" s="36">
        <v>0</v>
      </c>
      <c r="D180" s="29">
        <v>7</v>
      </c>
      <c r="E180" s="34">
        <v>6</v>
      </c>
      <c r="F180" s="34">
        <v>35</v>
      </c>
      <c r="G180" s="35">
        <v>0</v>
      </c>
      <c r="H180" s="36">
        <v>0</v>
      </c>
      <c r="I180" s="35">
        <v>0</v>
      </c>
      <c r="J180" s="34">
        <v>2</v>
      </c>
      <c r="K180" s="36">
        <v>0</v>
      </c>
      <c r="L180" s="35">
        <v>0</v>
      </c>
      <c r="M180" s="36">
        <v>0</v>
      </c>
      <c r="N180" s="35">
        <v>0</v>
      </c>
      <c r="O180" s="35">
        <v>0</v>
      </c>
      <c r="P180" s="29">
        <v>13</v>
      </c>
      <c r="Q180" s="36">
        <v>0</v>
      </c>
      <c r="R180" s="35">
        <v>0</v>
      </c>
      <c r="S180" s="35">
        <v>0</v>
      </c>
      <c r="T180" s="36">
        <v>0</v>
      </c>
      <c r="U180" s="35">
        <v>0</v>
      </c>
      <c r="V180" s="36">
        <v>0</v>
      </c>
      <c r="W180" s="36">
        <v>0</v>
      </c>
      <c r="X180" s="35">
        <v>0</v>
      </c>
      <c r="Y180" s="36">
        <v>0</v>
      </c>
      <c r="Z180" s="35">
        <v>0</v>
      </c>
      <c r="AA180" s="36">
        <v>0</v>
      </c>
      <c r="AB180" s="36">
        <v>0</v>
      </c>
      <c r="AC180" s="35">
        <v>0</v>
      </c>
    </row>
    <row r="181" spans="1:29" x14ac:dyDescent="0.3">
      <c r="A181" s="21" t="s">
        <v>281</v>
      </c>
      <c r="B181" s="35">
        <v>0</v>
      </c>
      <c r="C181" s="36">
        <v>0</v>
      </c>
      <c r="D181" s="35">
        <v>0</v>
      </c>
      <c r="E181" s="36">
        <v>0</v>
      </c>
      <c r="F181" s="36">
        <v>0</v>
      </c>
      <c r="G181" s="35">
        <v>0</v>
      </c>
      <c r="H181" s="36">
        <v>0</v>
      </c>
      <c r="I181" s="35">
        <v>0</v>
      </c>
      <c r="J181" s="36">
        <v>0</v>
      </c>
      <c r="K181" s="36">
        <v>0</v>
      </c>
      <c r="L181" s="35">
        <v>0</v>
      </c>
      <c r="M181" s="36">
        <v>0</v>
      </c>
      <c r="N181" s="35">
        <v>0</v>
      </c>
      <c r="O181" s="35">
        <v>0</v>
      </c>
      <c r="P181" s="35">
        <v>0</v>
      </c>
      <c r="Q181" s="36">
        <v>0</v>
      </c>
      <c r="R181" s="35">
        <v>0</v>
      </c>
      <c r="S181" s="35">
        <v>0</v>
      </c>
      <c r="T181" s="36">
        <v>0</v>
      </c>
      <c r="U181" s="35">
        <v>0</v>
      </c>
      <c r="V181" s="36">
        <v>0</v>
      </c>
      <c r="W181" s="36">
        <v>0</v>
      </c>
      <c r="X181" s="35">
        <v>0</v>
      </c>
      <c r="Y181" s="36">
        <v>0</v>
      </c>
      <c r="Z181" s="35">
        <v>0</v>
      </c>
      <c r="AA181" s="36">
        <v>0</v>
      </c>
      <c r="AB181" s="36">
        <v>0</v>
      </c>
      <c r="AC181" s="35">
        <v>0</v>
      </c>
    </row>
    <row r="182" spans="1:29" x14ac:dyDescent="0.3">
      <c r="A182" s="27" t="s">
        <v>282</v>
      </c>
      <c r="B182" s="35">
        <v>0</v>
      </c>
      <c r="C182" s="36">
        <v>0</v>
      </c>
      <c r="D182" s="35">
        <v>0</v>
      </c>
      <c r="E182" s="36">
        <v>0</v>
      </c>
      <c r="F182" s="36">
        <v>0</v>
      </c>
      <c r="G182" s="35">
        <v>0</v>
      </c>
      <c r="H182" s="36">
        <v>0</v>
      </c>
      <c r="I182" s="35">
        <v>0</v>
      </c>
      <c r="J182" s="36">
        <v>0</v>
      </c>
      <c r="K182" s="36">
        <v>0</v>
      </c>
      <c r="L182" s="35">
        <v>0</v>
      </c>
      <c r="M182" s="36">
        <v>0</v>
      </c>
      <c r="N182" s="35">
        <v>0</v>
      </c>
      <c r="O182" s="35">
        <v>0</v>
      </c>
      <c r="P182" s="35">
        <v>0</v>
      </c>
      <c r="Q182" s="36">
        <v>0</v>
      </c>
      <c r="R182" s="35">
        <v>0</v>
      </c>
      <c r="S182" s="35">
        <v>0</v>
      </c>
      <c r="T182" s="36">
        <v>0</v>
      </c>
      <c r="U182" s="35">
        <v>0</v>
      </c>
      <c r="V182" s="34">
        <v>1</v>
      </c>
      <c r="W182" s="36">
        <v>0</v>
      </c>
      <c r="X182" s="35">
        <v>0</v>
      </c>
      <c r="Y182" s="36">
        <v>0</v>
      </c>
      <c r="Z182" s="35">
        <v>0</v>
      </c>
      <c r="AA182" s="36">
        <v>0</v>
      </c>
      <c r="AB182" s="36">
        <v>0</v>
      </c>
      <c r="AC182" s="35">
        <v>0</v>
      </c>
    </row>
    <row r="183" spans="1:29" x14ac:dyDescent="0.3">
      <c r="A183" s="27" t="s">
        <v>283</v>
      </c>
      <c r="B183" s="35">
        <v>0</v>
      </c>
      <c r="C183" s="36">
        <v>0</v>
      </c>
      <c r="D183" s="35">
        <v>0</v>
      </c>
      <c r="E183" s="36">
        <v>0</v>
      </c>
      <c r="F183" s="34">
        <v>285</v>
      </c>
      <c r="G183" s="35">
        <v>0</v>
      </c>
      <c r="H183" s="34">
        <v>17</v>
      </c>
      <c r="I183" s="29">
        <v>11</v>
      </c>
      <c r="J183" s="36">
        <v>0</v>
      </c>
      <c r="K183" s="36">
        <v>0</v>
      </c>
      <c r="L183" s="35">
        <v>0</v>
      </c>
      <c r="M183" s="34">
        <v>145</v>
      </c>
      <c r="N183" s="29">
        <v>7</v>
      </c>
      <c r="O183" s="29">
        <v>41</v>
      </c>
      <c r="P183" s="29">
        <v>1</v>
      </c>
      <c r="Q183" s="36">
        <v>0</v>
      </c>
      <c r="R183" s="35">
        <v>0</v>
      </c>
      <c r="S183" s="29">
        <v>11</v>
      </c>
      <c r="T183" s="34">
        <v>9</v>
      </c>
      <c r="U183" s="35">
        <v>0</v>
      </c>
      <c r="V183" s="36">
        <v>0</v>
      </c>
      <c r="W183" s="34">
        <v>9</v>
      </c>
      <c r="X183" s="29">
        <v>2</v>
      </c>
      <c r="Y183" s="34">
        <v>1</v>
      </c>
      <c r="Z183" s="35">
        <v>0</v>
      </c>
      <c r="AA183" s="36">
        <v>0</v>
      </c>
      <c r="AB183" s="34">
        <v>1</v>
      </c>
      <c r="AC183" s="29">
        <v>2</v>
      </c>
    </row>
    <row r="184" spans="1:29" x14ac:dyDescent="0.3">
      <c r="A184" s="27" t="s">
        <v>284</v>
      </c>
      <c r="B184" s="35">
        <v>0</v>
      </c>
      <c r="C184" s="34">
        <v>4</v>
      </c>
      <c r="D184" s="29">
        <v>25</v>
      </c>
      <c r="E184" s="34">
        <v>9</v>
      </c>
      <c r="F184" s="34">
        <v>22</v>
      </c>
      <c r="G184" s="29">
        <v>405</v>
      </c>
      <c r="H184" s="34">
        <v>105</v>
      </c>
      <c r="I184" s="29">
        <v>41</v>
      </c>
      <c r="J184" s="34">
        <v>45</v>
      </c>
      <c r="K184" s="34">
        <v>39</v>
      </c>
      <c r="L184" s="29">
        <v>34</v>
      </c>
      <c r="M184" s="36">
        <v>0</v>
      </c>
      <c r="N184" s="35">
        <v>0</v>
      </c>
      <c r="O184" s="35">
        <v>0</v>
      </c>
      <c r="P184" s="29">
        <v>26</v>
      </c>
      <c r="Q184" s="36">
        <v>0</v>
      </c>
      <c r="R184" s="35">
        <v>0</v>
      </c>
      <c r="S184" s="29">
        <v>1</v>
      </c>
      <c r="T184" s="36">
        <v>0</v>
      </c>
      <c r="U184" s="29">
        <v>3</v>
      </c>
      <c r="V184" s="34">
        <v>1</v>
      </c>
      <c r="W184" s="34">
        <v>1</v>
      </c>
      <c r="X184" s="29">
        <v>1</v>
      </c>
      <c r="Y184" s="36">
        <v>0</v>
      </c>
      <c r="Z184" s="29">
        <v>3</v>
      </c>
      <c r="AA184" s="36">
        <v>0</v>
      </c>
      <c r="AB184" s="34">
        <v>1</v>
      </c>
      <c r="AC184" s="29">
        <v>1</v>
      </c>
    </row>
    <row r="185" spans="1:29" x14ac:dyDescent="0.3">
      <c r="A185" s="27" t="s">
        <v>285</v>
      </c>
      <c r="B185" s="35">
        <v>0</v>
      </c>
      <c r="C185" s="36">
        <v>0</v>
      </c>
      <c r="D185" s="35">
        <v>0</v>
      </c>
      <c r="E185" s="36">
        <v>0</v>
      </c>
      <c r="F185" s="36">
        <v>0</v>
      </c>
      <c r="G185" s="35">
        <v>0</v>
      </c>
      <c r="H185" s="36">
        <v>0</v>
      </c>
      <c r="I185" s="35">
        <v>0</v>
      </c>
      <c r="J185" s="36">
        <v>0</v>
      </c>
      <c r="K185" s="36">
        <v>0</v>
      </c>
      <c r="L185" s="35">
        <v>0</v>
      </c>
      <c r="M185" s="36">
        <v>0</v>
      </c>
      <c r="N185" s="35">
        <v>0</v>
      </c>
      <c r="O185" s="35">
        <v>0</v>
      </c>
      <c r="P185" s="35">
        <v>0</v>
      </c>
      <c r="Q185" s="36">
        <v>0</v>
      </c>
      <c r="R185" s="35">
        <v>0</v>
      </c>
      <c r="S185" s="29">
        <v>1</v>
      </c>
      <c r="T185" s="36">
        <v>0</v>
      </c>
      <c r="U185" s="35">
        <v>0</v>
      </c>
      <c r="V185" s="36">
        <v>0</v>
      </c>
      <c r="W185" s="34">
        <v>1</v>
      </c>
      <c r="X185" s="29">
        <v>2</v>
      </c>
      <c r="Y185" s="36">
        <v>0</v>
      </c>
      <c r="Z185" s="35">
        <v>0</v>
      </c>
      <c r="AA185" s="36">
        <v>0</v>
      </c>
      <c r="AB185" s="36">
        <v>0</v>
      </c>
      <c r="AC185" s="35">
        <v>0</v>
      </c>
    </row>
    <row r="186" spans="1:29" x14ac:dyDescent="0.3">
      <c r="A186" s="27" t="s">
        <v>286</v>
      </c>
      <c r="B186" s="35">
        <v>0</v>
      </c>
      <c r="C186" s="36">
        <v>0</v>
      </c>
      <c r="D186" s="35">
        <v>0</v>
      </c>
      <c r="E186" s="36">
        <v>0</v>
      </c>
      <c r="F186" s="36">
        <v>0</v>
      </c>
      <c r="G186" s="35">
        <v>0</v>
      </c>
      <c r="H186" s="36">
        <v>0</v>
      </c>
      <c r="I186" s="35">
        <v>0</v>
      </c>
      <c r="J186" s="36">
        <v>0</v>
      </c>
      <c r="K186" s="36">
        <v>0</v>
      </c>
      <c r="L186" s="35">
        <v>0</v>
      </c>
      <c r="M186" s="36">
        <v>0</v>
      </c>
      <c r="N186" s="35">
        <v>0</v>
      </c>
      <c r="O186" s="35">
        <v>0</v>
      </c>
      <c r="P186" s="35">
        <v>0</v>
      </c>
      <c r="Q186" s="36">
        <v>0</v>
      </c>
      <c r="R186" s="35">
        <v>0</v>
      </c>
      <c r="S186" s="29">
        <v>14</v>
      </c>
      <c r="T186" s="34">
        <v>6</v>
      </c>
      <c r="U186" s="29">
        <v>5</v>
      </c>
      <c r="V186" s="36">
        <v>0</v>
      </c>
      <c r="W186" s="34">
        <v>11</v>
      </c>
      <c r="X186" s="29">
        <v>1</v>
      </c>
      <c r="Y186" s="36">
        <v>0</v>
      </c>
      <c r="Z186" s="35">
        <v>0</v>
      </c>
      <c r="AA186" s="36">
        <v>0</v>
      </c>
      <c r="AB186" s="34">
        <v>2</v>
      </c>
      <c r="AC186" s="29">
        <v>5</v>
      </c>
    </row>
    <row r="187" spans="1:29" x14ac:dyDescent="0.3">
      <c r="A187" s="27" t="s">
        <v>287</v>
      </c>
      <c r="B187" s="35">
        <v>0</v>
      </c>
      <c r="C187" s="36">
        <v>0</v>
      </c>
      <c r="D187" s="35">
        <v>0</v>
      </c>
      <c r="E187" s="36">
        <v>0</v>
      </c>
      <c r="F187" s="36">
        <v>0</v>
      </c>
      <c r="G187" s="35">
        <v>0</v>
      </c>
      <c r="H187" s="36">
        <v>0</v>
      </c>
      <c r="I187" s="35">
        <v>0</v>
      </c>
      <c r="J187" s="36">
        <v>0</v>
      </c>
      <c r="K187" s="36">
        <v>0</v>
      </c>
      <c r="L187" s="35">
        <v>0</v>
      </c>
      <c r="M187" s="36">
        <v>0</v>
      </c>
      <c r="N187" s="35">
        <v>0</v>
      </c>
      <c r="O187" s="35">
        <v>0</v>
      </c>
      <c r="P187" s="35">
        <v>0</v>
      </c>
      <c r="Q187" s="36">
        <v>0</v>
      </c>
      <c r="R187" s="35">
        <v>0</v>
      </c>
      <c r="S187" s="35">
        <v>0</v>
      </c>
      <c r="T187" s="36">
        <v>0</v>
      </c>
      <c r="U187" s="35">
        <v>0</v>
      </c>
      <c r="V187" s="36">
        <v>0</v>
      </c>
      <c r="W187" s="36">
        <v>0</v>
      </c>
      <c r="X187" s="35">
        <v>0</v>
      </c>
      <c r="Y187" s="36">
        <v>0</v>
      </c>
      <c r="Z187" s="35">
        <v>0</v>
      </c>
      <c r="AA187" s="36">
        <v>0</v>
      </c>
      <c r="AB187" s="36">
        <v>0</v>
      </c>
      <c r="AC187" s="35">
        <v>0</v>
      </c>
    </row>
    <row r="188" spans="1:29" x14ac:dyDescent="0.3">
      <c r="A188" s="27" t="s">
        <v>288</v>
      </c>
      <c r="B188" s="29">
        <v>78</v>
      </c>
      <c r="C188" s="36">
        <v>0</v>
      </c>
      <c r="D188" s="29">
        <v>54</v>
      </c>
      <c r="E188" s="36">
        <v>0</v>
      </c>
      <c r="F188" s="36">
        <v>0</v>
      </c>
      <c r="G188" s="35">
        <v>0</v>
      </c>
      <c r="H188" s="36">
        <v>0</v>
      </c>
      <c r="I188" s="35">
        <v>0</v>
      </c>
      <c r="J188" s="34">
        <v>18</v>
      </c>
      <c r="K188" s="36">
        <v>0</v>
      </c>
      <c r="L188" s="29">
        <v>17</v>
      </c>
      <c r="M188" s="34">
        <v>5</v>
      </c>
      <c r="N188" s="35">
        <v>0</v>
      </c>
      <c r="O188" s="35">
        <v>0</v>
      </c>
      <c r="P188" s="35">
        <v>0</v>
      </c>
      <c r="Q188" s="36">
        <v>0</v>
      </c>
      <c r="R188" s="35">
        <v>0</v>
      </c>
      <c r="S188" s="35">
        <v>0</v>
      </c>
      <c r="T188" s="36">
        <v>0</v>
      </c>
      <c r="U188" s="35">
        <v>0</v>
      </c>
      <c r="V188" s="36">
        <v>0</v>
      </c>
      <c r="W188" s="34">
        <v>6</v>
      </c>
      <c r="X188" s="29">
        <v>2</v>
      </c>
      <c r="Y188" s="36">
        <v>0</v>
      </c>
      <c r="Z188" s="35">
        <v>0</v>
      </c>
      <c r="AA188" s="36">
        <v>0</v>
      </c>
      <c r="AB188" s="34">
        <v>4</v>
      </c>
      <c r="AC188" s="35">
        <v>0</v>
      </c>
    </row>
    <row r="189" spans="1:29" x14ac:dyDescent="0.3">
      <c r="A189" s="21" t="s">
        <v>289</v>
      </c>
      <c r="B189" s="35">
        <v>0</v>
      </c>
      <c r="C189" s="36">
        <v>0</v>
      </c>
      <c r="D189" s="35">
        <v>0</v>
      </c>
      <c r="E189" s="36">
        <v>0</v>
      </c>
      <c r="F189" s="36">
        <v>0</v>
      </c>
      <c r="G189" s="35">
        <v>0</v>
      </c>
      <c r="H189" s="36">
        <v>0</v>
      </c>
      <c r="I189" s="35">
        <v>0</v>
      </c>
      <c r="J189" s="36">
        <v>0</v>
      </c>
      <c r="K189" s="36">
        <v>0</v>
      </c>
      <c r="L189" s="35">
        <v>0</v>
      </c>
      <c r="M189" s="36">
        <v>0</v>
      </c>
      <c r="N189" s="35">
        <v>0</v>
      </c>
      <c r="O189" s="35">
        <v>0</v>
      </c>
      <c r="P189" s="35">
        <v>0</v>
      </c>
      <c r="Q189" s="36">
        <v>0</v>
      </c>
      <c r="R189" s="35">
        <v>0</v>
      </c>
      <c r="S189" s="35">
        <v>0</v>
      </c>
      <c r="T189" s="36">
        <v>0</v>
      </c>
      <c r="U189" s="35">
        <v>0</v>
      </c>
      <c r="V189" s="36">
        <v>0</v>
      </c>
      <c r="W189" s="36">
        <v>0</v>
      </c>
      <c r="X189" s="35">
        <v>0</v>
      </c>
      <c r="Y189" s="36">
        <v>0</v>
      </c>
      <c r="Z189" s="35">
        <v>0</v>
      </c>
      <c r="AA189" s="36">
        <v>0</v>
      </c>
      <c r="AB189" s="36">
        <v>0</v>
      </c>
      <c r="AC189" s="35">
        <v>0</v>
      </c>
    </row>
    <row r="190" spans="1:29" x14ac:dyDescent="0.3">
      <c r="A190" s="21" t="s">
        <v>290</v>
      </c>
      <c r="B190" s="35">
        <v>0</v>
      </c>
      <c r="C190" s="36">
        <v>0</v>
      </c>
      <c r="D190" s="35">
        <v>0</v>
      </c>
      <c r="E190" s="36">
        <v>0</v>
      </c>
      <c r="F190" s="36">
        <v>0</v>
      </c>
      <c r="G190" s="35">
        <v>0</v>
      </c>
      <c r="H190" s="36">
        <v>0</v>
      </c>
      <c r="I190" s="35">
        <v>0</v>
      </c>
      <c r="J190" s="36">
        <v>0</v>
      </c>
      <c r="K190" s="36">
        <v>0</v>
      </c>
      <c r="L190" s="35">
        <v>0</v>
      </c>
      <c r="M190" s="36">
        <v>0</v>
      </c>
      <c r="N190" s="35">
        <v>0</v>
      </c>
      <c r="O190" s="35">
        <v>0</v>
      </c>
      <c r="P190" s="35">
        <v>0</v>
      </c>
      <c r="Q190" s="36">
        <v>0</v>
      </c>
      <c r="R190" s="35">
        <v>0</v>
      </c>
      <c r="S190" s="35">
        <v>0</v>
      </c>
      <c r="T190" s="36">
        <v>0</v>
      </c>
      <c r="U190" s="35">
        <v>0</v>
      </c>
      <c r="V190" s="36">
        <v>0</v>
      </c>
      <c r="W190" s="36">
        <v>0</v>
      </c>
      <c r="X190" s="35">
        <v>0</v>
      </c>
      <c r="Y190" s="36">
        <v>0</v>
      </c>
      <c r="Z190" s="35">
        <v>0</v>
      </c>
      <c r="AA190" s="36">
        <v>0</v>
      </c>
      <c r="AB190" s="36">
        <v>0</v>
      </c>
      <c r="AC190" s="35">
        <v>0</v>
      </c>
    </row>
    <row r="191" spans="1:29" x14ac:dyDescent="0.3">
      <c r="A191" s="27" t="s">
        <v>291</v>
      </c>
      <c r="B191" s="35">
        <v>0</v>
      </c>
      <c r="C191" s="36">
        <v>0</v>
      </c>
      <c r="D191" s="35">
        <v>0</v>
      </c>
      <c r="E191" s="36">
        <v>0</v>
      </c>
      <c r="F191" s="36">
        <v>0</v>
      </c>
      <c r="G191" s="35">
        <v>0</v>
      </c>
      <c r="H191" s="36">
        <v>0</v>
      </c>
      <c r="I191" s="35">
        <v>0</v>
      </c>
      <c r="J191" s="36">
        <v>0</v>
      </c>
      <c r="K191" s="36">
        <v>0</v>
      </c>
      <c r="L191" s="35">
        <v>0</v>
      </c>
      <c r="M191" s="36">
        <v>0</v>
      </c>
      <c r="N191" s="35">
        <v>0</v>
      </c>
      <c r="O191" s="35">
        <v>0</v>
      </c>
      <c r="P191" s="35">
        <v>0</v>
      </c>
      <c r="Q191" s="36">
        <v>0</v>
      </c>
      <c r="R191" s="35">
        <v>0</v>
      </c>
      <c r="S191" s="35">
        <v>0</v>
      </c>
      <c r="T191" s="36">
        <v>0</v>
      </c>
      <c r="U191" s="35">
        <v>0</v>
      </c>
      <c r="V191" s="36">
        <v>0</v>
      </c>
      <c r="W191" s="36">
        <v>0</v>
      </c>
      <c r="X191" s="35">
        <v>0</v>
      </c>
      <c r="Y191" s="36">
        <v>0</v>
      </c>
      <c r="Z191" s="35">
        <v>0</v>
      </c>
      <c r="AA191" s="36">
        <v>0</v>
      </c>
      <c r="AB191" s="36">
        <v>0</v>
      </c>
      <c r="AC191" s="35">
        <v>0</v>
      </c>
    </row>
    <row r="192" spans="1:29" x14ac:dyDescent="0.3">
      <c r="A192" s="27" t="s">
        <v>292</v>
      </c>
      <c r="B192" s="29">
        <v>1</v>
      </c>
      <c r="C192" s="36">
        <v>0</v>
      </c>
      <c r="D192" s="35">
        <v>0</v>
      </c>
      <c r="E192" s="36">
        <v>0</v>
      </c>
      <c r="F192" s="34">
        <v>3</v>
      </c>
      <c r="G192" s="29">
        <v>1</v>
      </c>
      <c r="H192" s="36">
        <v>0</v>
      </c>
      <c r="I192" s="35">
        <v>0</v>
      </c>
      <c r="J192" s="34">
        <v>3</v>
      </c>
      <c r="K192" s="34">
        <v>1</v>
      </c>
      <c r="L192" s="35">
        <v>0</v>
      </c>
      <c r="M192" s="36">
        <v>0</v>
      </c>
      <c r="N192" s="29">
        <v>5</v>
      </c>
      <c r="O192" s="35">
        <v>0</v>
      </c>
      <c r="P192" s="29">
        <v>1</v>
      </c>
      <c r="Q192" s="36">
        <v>0</v>
      </c>
      <c r="R192" s="35">
        <v>0</v>
      </c>
      <c r="S192" s="35">
        <v>0</v>
      </c>
      <c r="T192" s="36">
        <v>0</v>
      </c>
      <c r="U192" s="35">
        <v>0</v>
      </c>
      <c r="V192" s="36">
        <v>0</v>
      </c>
      <c r="W192" s="36">
        <v>0</v>
      </c>
      <c r="X192" s="35">
        <v>0</v>
      </c>
      <c r="Y192" s="36">
        <v>0</v>
      </c>
      <c r="Z192" s="35">
        <v>0</v>
      </c>
      <c r="AA192" s="36">
        <v>0</v>
      </c>
      <c r="AB192" s="36">
        <v>0</v>
      </c>
      <c r="AC192" s="35">
        <v>0</v>
      </c>
    </row>
    <row r="193" spans="1:29" x14ac:dyDescent="0.3">
      <c r="A193" s="27" t="s">
        <v>293</v>
      </c>
      <c r="B193" s="35">
        <v>0</v>
      </c>
      <c r="C193" s="36">
        <v>0</v>
      </c>
      <c r="D193" s="35">
        <v>0</v>
      </c>
      <c r="E193" s="36">
        <v>0</v>
      </c>
      <c r="F193" s="36">
        <v>0</v>
      </c>
      <c r="G193" s="35">
        <v>0</v>
      </c>
      <c r="H193" s="36">
        <v>0</v>
      </c>
      <c r="I193" s="35">
        <v>0</v>
      </c>
      <c r="J193" s="36">
        <v>0</v>
      </c>
      <c r="K193" s="36">
        <v>0</v>
      </c>
      <c r="L193" s="35">
        <v>0</v>
      </c>
      <c r="M193" s="36">
        <v>0</v>
      </c>
      <c r="N193" s="35">
        <v>0</v>
      </c>
      <c r="O193" s="35">
        <v>0</v>
      </c>
      <c r="P193" s="35">
        <v>0</v>
      </c>
      <c r="Q193" s="36">
        <v>0</v>
      </c>
      <c r="R193" s="35">
        <v>0</v>
      </c>
      <c r="S193" s="29">
        <v>3</v>
      </c>
      <c r="T193" s="34">
        <v>1</v>
      </c>
      <c r="U193" s="29">
        <v>3</v>
      </c>
      <c r="V193" s="36">
        <v>0</v>
      </c>
      <c r="W193" s="36">
        <v>0</v>
      </c>
      <c r="X193" s="29">
        <v>2</v>
      </c>
      <c r="Y193" s="34">
        <v>1</v>
      </c>
      <c r="Z193" s="35">
        <v>0</v>
      </c>
      <c r="AA193" s="36">
        <v>0</v>
      </c>
      <c r="AB193" s="34">
        <v>2</v>
      </c>
      <c r="AC193" s="35">
        <v>0</v>
      </c>
    </row>
    <row r="194" spans="1:29" x14ac:dyDescent="0.3">
      <c r="A194" s="27" t="s">
        <v>294</v>
      </c>
      <c r="B194" s="35">
        <v>0</v>
      </c>
      <c r="C194" s="36">
        <v>0</v>
      </c>
      <c r="D194" s="35">
        <v>0</v>
      </c>
      <c r="E194" s="36">
        <v>0</v>
      </c>
      <c r="F194" s="36">
        <v>0</v>
      </c>
      <c r="G194" s="35">
        <v>0</v>
      </c>
      <c r="H194" s="36">
        <v>0</v>
      </c>
      <c r="I194" s="35">
        <v>0</v>
      </c>
      <c r="J194" s="36">
        <v>0</v>
      </c>
      <c r="K194" s="36">
        <v>0</v>
      </c>
      <c r="L194" s="35">
        <v>0</v>
      </c>
      <c r="M194" s="36">
        <v>0</v>
      </c>
      <c r="N194" s="35">
        <v>0</v>
      </c>
      <c r="O194" s="35">
        <v>0</v>
      </c>
      <c r="P194" s="35">
        <v>0</v>
      </c>
      <c r="Q194" s="36">
        <v>0</v>
      </c>
      <c r="R194" s="35">
        <v>0</v>
      </c>
      <c r="S194" s="35">
        <v>0</v>
      </c>
      <c r="T194" s="36">
        <v>0</v>
      </c>
      <c r="U194" s="35">
        <v>0</v>
      </c>
      <c r="V194" s="36">
        <v>0</v>
      </c>
      <c r="W194" s="36">
        <v>0</v>
      </c>
      <c r="X194" s="35">
        <v>0</v>
      </c>
      <c r="Y194" s="36">
        <v>0</v>
      </c>
      <c r="Z194" s="35">
        <v>0</v>
      </c>
      <c r="AA194" s="36">
        <v>0</v>
      </c>
      <c r="AB194" s="36">
        <v>0</v>
      </c>
      <c r="AC194" s="35">
        <v>0</v>
      </c>
    </row>
    <row r="195" spans="1:29" x14ac:dyDescent="0.3">
      <c r="A195" s="21" t="s">
        <v>295</v>
      </c>
      <c r="B195" s="35">
        <v>0</v>
      </c>
      <c r="C195" s="36">
        <v>0</v>
      </c>
      <c r="D195" s="35">
        <v>0</v>
      </c>
      <c r="E195" s="36">
        <v>0</v>
      </c>
      <c r="F195" s="36">
        <v>0</v>
      </c>
      <c r="G195" s="35">
        <v>0</v>
      </c>
      <c r="H195" s="36">
        <v>0</v>
      </c>
      <c r="I195" s="35">
        <v>0</v>
      </c>
      <c r="J195" s="36">
        <v>0</v>
      </c>
      <c r="K195" s="36">
        <v>0</v>
      </c>
      <c r="L195" s="35">
        <v>0</v>
      </c>
      <c r="M195" s="36">
        <v>0</v>
      </c>
      <c r="N195" s="35">
        <v>0</v>
      </c>
      <c r="O195" s="35">
        <v>0</v>
      </c>
      <c r="P195" s="35">
        <v>0</v>
      </c>
      <c r="Q195" s="36">
        <v>0</v>
      </c>
      <c r="R195" s="35">
        <v>0</v>
      </c>
      <c r="S195" s="35">
        <v>0</v>
      </c>
      <c r="T195" s="36">
        <v>0</v>
      </c>
      <c r="U195" s="35">
        <v>0</v>
      </c>
      <c r="V195" s="36">
        <v>0</v>
      </c>
      <c r="W195" s="36">
        <v>0</v>
      </c>
      <c r="X195" s="35">
        <v>0</v>
      </c>
      <c r="Y195" s="36">
        <v>0</v>
      </c>
      <c r="Z195" s="35">
        <v>0</v>
      </c>
      <c r="AA195" s="36">
        <v>0</v>
      </c>
      <c r="AB195" s="36">
        <v>0</v>
      </c>
      <c r="AC195" s="35">
        <v>0</v>
      </c>
    </row>
    <row r="196" spans="1:29" x14ac:dyDescent="0.3">
      <c r="A196" s="27" t="s">
        <v>296</v>
      </c>
      <c r="B196" s="35">
        <v>0</v>
      </c>
      <c r="C196" s="36">
        <v>0</v>
      </c>
      <c r="D196" s="35">
        <v>0</v>
      </c>
      <c r="E196" s="36">
        <v>0</v>
      </c>
      <c r="F196" s="36">
        <v>0</v>
      </c>
      <c r="G196" s="35">
        <v>0</v>
      </c>
      <c r="H196" s="36">
        <v>0</v>
      </c>
      <c r="I196" s="35">
        <v>0</v>
      </c>
      <c r="J196" s="36">
        <v>0</v>
      </c>
      <c r="K196" s="36">
        <v>0</v>
      </c>
      <c r="L196" s="35">
        <v>0</v>
      </c>
      <c r="M196" s="36">
        <v>0</v>
      </c>
      <c r="N196" s="35">
        <v>0</v>
      </c>
      <c r="O196" s="35">
        <v>0</v>
      </c>
      <c r="P196" s="35">
        <v>0</v>
      </c>
      <c r="Q196" s="36">
        <v>0</v>
      </c>
      <c r="R196" s="35">
        <v>0</v>
      </c>
      <c r="S196" s="29">
        <v>1</v>
      </c>
      <c r="T196" s="36">
        <v>0</v>
      </c>
      <c r="U196" s="35">
        <v>0</v>
      </c>
      <c r="V196" s="36">
        <v>0</v>
      </c>
      <c r="W196" s="36">
        <v>0</v>
      </c>
      <c r="X196" s="35">
        <v>0</v>
      </c>
      <c r="Y196" s="36">
        <v>0</v>
      </c>
      <c r="Z196" s="35">
        <v>0</v>
      </c>
      <c r="AA196" s="36">
        <v>0</v>
      </c>
      <c r="AB196" s="36">
        <v>0</v>
      </c>
      <c r="AC196" s="35">
        <v>0</v>
      </c>
    </row>
    <row r="197" spans="1:29" x14ac:dyDescent="0.3">
      <c r="A197" s="27" t="s">
        <v>297</v>
      </c>
      <c r="B197" s="35">
        <v>0</v>
      </c>
      <c r="C197" s="34">
        <v>3</v>
      </c>
      <c r="D197" s="35">
        <v>0</v>
      </c>
      <c r="E197" s="36">
        <v>0</v>
      </c>
      <c r="F197" s="34">
        <v>2</v>
      </c>
      <c r="G197" s="29">
        <v>5</v>
      </c>
      <c r="H197" s="36">
        <v>0</v>
      </c>
      <c r="I197" s="29">
        <v>1</v>
      </c>
      <c r="J197" s="36">
        <v>0</v>
      </c>
      <c r="K197" s="36">
        <v>0</v>
      </c>
      <c r="L197" s="35">
        <v>0</v>
      </c>
      <c r="M197" s="36">
        <v>0</v>
      </c>
      <c r="N197" s="29">
        <v>5</v>
      </c>
      <c r="O197" s="29">
        <v>22</v>
      </c>
      <c r="P197" s="35">
        <v>0</v>
      </c>
      <c r="Q197" s="36">
        <v>0</v>
      </c>
      <c r="R197" s="35">
        <v>0</v>
      </c>
      <c r="S197" s="35">
        <v>0</v>
      </c>
      <c r="T197" s="36">
        <v>0</v>
      </c>
      <c r="U197" s="29">
        <v>1</v>
      </c>
      <c r="V197" s="36">
        <v>0</v>
      </c>
      <c r="W197" s="36">
        <v>0</v>
      </c>
      <c r="X197" s="35">
        <v>0</v>
      </c>
      <c r="Y197" s="36">
        <v>0</v>
      </c>
      <c r="Z197" s="35">
        <v>0</v>
      </c>
      <c r="AA197" s="36">
        <v>0</v>
      </c>
      <c r="AB197" s="36">
        <v>0</v>
      </c>
      <c r="AC197" s="35">
        <v>0</v>
      </c>
    </row>
    <row r="198" spans="1:29" x14ac:dyDescent="0.3">
      <c r="A198" s="27" t="s">
        <v>298</v>
      </c>
      <c r="B198" s="35">
        <v>0</v>
      </c>
      <c r="C198" s="36">
        <v>0</v>
      </c>
      <c r="D198" s="29">
        <v>4</v>
      </c>
      <c r="E198" s="34">
        <v>4</v>
      </c>
      <c r="F198" s="36">
        <v>0</v>
      </c>
      <c r="G198" s="35">
        <v>0</v>
      </c>
      <c r="H198" s="36">
        <v>0</v>
      </c>
      <c r="I198" s="35">
        <v>0</v>
      </c>
      <c r="J198" s="36">
        <v>0</v>
      </c>
      <c r="K198" s="36">
        <v>0</v>
      </c>
      <c r="L198" s="35">
        <v>0</v>
      </c>
      <c r="M198" s="36">
        <v>0</v>
      </c>
      <c r="N198" s="35">
        <v>0</v>
      </c>
      <c r="O198" s="35">
        <v>0</v>
      </c>
      <c r="P198" s="35">
        <v>0</v>
      </c>
      <c r="Q198" s="36">
        <v>0</v>
      </c>
      <c r="R198" s="35">
        <v>0</v>
      </c>
      <c r="S198" s="35">
        <v>0</v>
      </c>
      <c r="T198" s="36">
        <v>0</v>
      </c>
      <c r="U198" s="35">
        <v>0</v>
      </c>
      <c r="V198" s="36">
        <v>0</v>
      </c>
      <c r="W198" s="36">
        <v>0</v>
      </c>
      <c r="X198" s="35">
        <v>0</v>
      </c>
      <c r="Y198" s="36">
        <v>0</v>
      </c>
      <c r="Z198" s="35">
        <v>0</v>
      </c>
      <c r="AA198" s="36">
        <v>0</v>
      </c>
      <c r="AB198" s="36">
        <v>0</v>
      </c>
      <c r="AC198" s="35">
        <v>0</v>
      </c>
    </row>
    <row r="199" spans="1:29" x14ac:dyDescent="0.3">
      <c r="A199" s="27" t="s">
        <v>299</v>
      </c>
      <c r="B199" s="35">
        <v>0</v>
      </c>
      <c r="C199" s="36">
        <v>0</v>
      </c>
      <c r="D199" s="35">
        <v>0</v>
      </c>
      <c r="E199" s="36">
        <v>0</v>
      </c>
      <c r="F199" s="36">
        <v>0</v>
      </c>
      <c r="G199" s="35">
        <v>0</v>
      </c>
      <c r="H199" s="36">
        <v>0</v>
      </c>
      <c r="I199" s="35">
        <v>0</v>
      </c>
      <c r="J199" s="36">
        <v>0</v>
      </c>
      <c r="K199" s="36">
        <v>0</v>
      </c>
      <c r="L199" s="35">
        <v>0</v>
      </c>
      <c r="M199" s="36">
        <v>0</v>
      </c>
      <c r="N199" s="35">
        <v>0</v>
      </c>
      <c r="O199" s="35">
        <v>0</v>
      </c>
      <c r="P199" s="35">
        <v>0</v>
      </c>
      <c r="Q199" s="36">
        <v>0</v>
      </c>
      <c r="R199" s="35">
        <v>0</v>
      </c>
      <c r="S199" s="35">
        <v>0</v>
      </c>
      <c r="T199" s="34">
        <v>1</v>
      </c>
      <c r="U199" s="29">
        <v>3</v>
      </c>
      <c r="V199" s="36">
        <v>0</v>
      </c>
      <c r="W199" s="36">
        <v>0</v>
      </c>
      <c r="X199" s="35">
        <v>0</v>
      </c>
      <c r="Y199" s="36">
        <v>0</v>
      </c>
      <c r="Z199" s="35">
        <v>0</v>
      </c>
      <c r="AA199" s="36">
        <v>0</v>
      </c>
      <c r="AB199" s="36">
        <v>0</v>
      </c>
      <c r="AC199" s="29">
        <v>1</v>
      </c>
    </row>
    <row r="200" spans="1:29" x14ac:dyDescent="0.3">
      <c r="A200" s="27" t="s">
        <v>300</v>
      </c>
      <c r="B200" s="35">
        <v>0</v>
      </c>
      <c r="C200" s="36">
        <v>0</v>
      </c>
      <c r="D200" s="35">
        <v>0</v>
      </c>
      <c r="E200" s="36">
        <v>0</v>
      </c>
      <c r="F200" s="36">
        <v>0</v>
      </c>
      <c r="G200" s="35">
        <v>0</v>
      </c>
      <c r="H200" s="36">
        <v>0</v>
      </c>
      <c r="I200" s="35">
        <v>0</v>
      </c>
      <c r="J200" s="36">
        <v>0</v>
      </c>
      <c r="K200" s="36">
        <v>0</v>
      </c>
      <c r="L200" s="35">
        <v>0</v>
      </c>
      <c r="M200" s="36">
        <v>0</v>
      </c>
      <c r="N200" s="35">
        <v>0</v>
      </c>
      <c r="O200" s="35">
        <v>0</v>
      </c>
      <c r="P200" s="35">
        <v>0</v>
      </c>
      <c r="Q200" s="36">
        <v>0</v>
      </c>
      <c r="R200" s="35">
        <v>0</v>
      </c>
      <c r="S200" s="35">
        <v>0</v>
      </c>
      <c r="T200" s="34">
        <v>1</v>
      </c>
      <c r="U200" s="29">
        <v>3</v>
      </c>
      <c r="V200" s="36">
        <v>0</v>
      </c>
      <c r="W200" s="36">
        <v>0</v>
      </c>
      <c r="X200" s="29">
        <v>3</v>
      </c>
      <c r="Y200" s="34">
        <v>1</v>
      </c>
      <c r="Z200" s="29">
        <v>1</v>
      </c>
      <c r="AA200" s="36">
        <v>0</v>
      </c>
      <c r="AB200" s="36">
        <v>0</v>
      </c>
      <c r="AC200" s="29">
        <v>1</v>
      </c>
    </row>
    <row r="201" spans="1:29" x14ac:dyDescent="0.3">
      <c r="A201" s="27" t="s">
        <v>301</v>
      </c>
      <c r="B201" s="35">
        <v>0</v>
      </c>
      <c r="C201" s="36">
        <v>0</v>
      </c>
      <c r="D201" s="35">
        <v>0</v>
      </c>
      <c r="E201" s="36">
        <v>0</v>
      </c>
      <c r="F201" s="36">
        <v>0</v>
      </c>
      <c r="G201" s="35">
        <v>0</v>
      </c>
      <c r="H201" s="36">
        <v>0</v>
      </c>
      <c r="I201" s="35">
        <v>0</v>
      </c>
      <c r="J201" s="36">
        <v>0</v>
      </c>
      <c r="K201" s="36">
        <v>0</v>
      </c>
      <c r="L201" s="35">
        <v>0</v>
      </c>
      <c r="M201" s="36">
        <v>0</v>
      </c>
      <c r="N201" s="29">
        <v>44</v>
      </c>
      <c r="O201" s="35">
        <v>0</v>
      </c>
      <c r="P201" s="35">
        <v>0</v>
      </c>
      <c r="Q201" s="34">
        <v>2</v>
      </c>
      <c r="R201" s="35">
        <v>0</v>
      </c>
      <c r="S201" s="35">
        <v>0</v>
      </c>
      <c r="T201" s="36">
        <v>0</v>
      </c>
      <c r="U201" s="29">
        <v>10</v>
      </c>
      <c r="V201" s="36">
        <v>0</v>
      </c>
      <c r="W201" s="36">
        <v>0</v>
      </c>
      <c r="X201" s="35">
        <v>0</v>
      </c>
      <c r="Y201" s="36">
        <v>0</v>
      </c>
      <c r="Z201" s="35">
        <v>0</v>
      </c>
      <c r="AA201" s="36">
        <v>0</v>
      </c>
      <c r="AB201" s="36">
        <v>0</v>
      </c>
      <c r="AC201" s="29">
        <v>16</v>
      </c>
    </row>
    <row r="202" spans="1:29" x14ac:dyDescent="0.3">
      <c r="A202" s="27" t="s">
        <v>302</v>
      </c>
      <c r="B202" s="35">
        <v>0</v>
      </c>
      <c r="C202" s="34">
        <v>11</v>
      </c>
      <c r="D202" s="35">
        <v>0</v>
      </c>
      <c r="E202" s="34">
        <v>6</v>
      </c>
      <c r="F202" s="36">
        <v>0</v>
      </c>
      <c r="G202" s="29">
        <v>7</v>
      </c>
      <c r="H202" s="36">
        <v>0</v>
      </c>
      <c r="I202" s="35">
        <v>0</v>
      </c>
      <c r="J202" s="36">
        <v>0</v>
      </c>
      <c r="K202" s="36">
        <v>0</v>
      </c>
      <c r="L202" s="29">
        <v>5</v>
      </c>
      <c r="M202" s="36">
        <v>0</v>
      </c>
      <c r="N202" s="29">
        <v>1</v>
      </c>
      <c r="O202" s="35">
        <v>0</v>
      </c>
      <c r="P202" s="35">
        <v>0</v>
      </c>
      <c r="Q202" s="36">
        <v>0</v>
      </c>
      <c r="R202" s="35">
        <v>0</v>
      </c>
      <c r="S202" s="35">
        <v>0</v>
      </c>
      <c r="T202" s="34">
        <v>4</v>
      </c>
      <c r="U202" s="29">
        <v>6</v>
      </c>
      <c r="V202" s="36">
        <v>0</v>
      </c>
      <c r="W202" s="36">
        <v>0</v>
      </c>
      <c r="X202" s="29">
        <v>1</v>
      </c>
      <c r="Y202" s="34">
        <v>4</v>
      </c>
      <c r="Z202" s="35">
        <v>0</v>
      </c>
      <c r="AA202" s="36">
        <v>0</v>
      </c>
      <c r="AB202" s="36">
        <v>0</v>
      </c>
      <c r="AC202" s="29">
        <v>3</v>
      </c>
    </row>
    <row r="203" spans="1:29" x14ac:dyDescent="0.3">
      <c r="A203" s="27" t="s">
        <v>303</v>
      </c>
      <c r="B203" s="35">
        <v>0</v>
      </c>
      <c r="C203" s="36">
        <v>0</v>
      </c>
      <c r="D203" s="35">
        <v>0</v>
      </c>
      <c r="E203" s="36">
        <v>0</v>
      </c>
      <c r="F203" s="36">
        <v>0</v>
      </c>
      <c r="G203" s="35">
        <v>0</v>
      </c>
      <c r="H203" s="36">
        <v>0</v>
      </c>
      <c r="I203" s="35">
        <v>0</v>
      </c>
      <c r="J203" s="36">
        <v>0</v>
      </c>
      <c r="K203" s="36">
        <v>0</v>
      </c>
      <c r="L203" s="35">
        <v>0</v>
      </c>
      <c r="M203" s="36">
        <v>0</v>
      </c>
      <c r="N203" s="35">
        <v>0</v>
      </c>
      <c r="O203" s="35">
        <v>0</v>
      </c>
      <c r="P203" s="35">
        <v>0</v>
      </c>
      <c r="Q203" s="36">
        <v>0</v>
      </c>
      <c r="R203" s="35">
        <v>0</v>
      </c>
      <c r="S203" s="35">
        <v>0</v>
      </c>
      <c r="T203" s="36">
        <v>0</v>
      </c>
      <c r="U203" s="35">
        <v>0</v>
      </c>
      <c r="V203" s="36">
        <v>0</v>
      </c>
      <c r="W203" s="36">
        <v>0</v>
      </c>
      <c r="X203" s="35">
        <v>0</v>
      </c>
      <c r="Y203" s="36">
        <v>0</v>
      </c>
      <c r="Z203" s="35">
        <v>0</v>
      </c>
      <c r="AA203" s="36">
        <v>0</v>
      </c>
      <c r="AB203" s="36">
        <v>0</v>
      </c>
      <c r="AC203" s="35">
        <v>0</v>
      </c>
    </row>
    <row r="204" spans="1:29" x14ac:dyDescent="0.3">
      <c r="A204" s="27" t="s">
        <v>304</v>
      </c>
      <c r="B204" s="35">
        <v>0</v>
      </c>
      <c r="C204" s="36">
        <v>0</v>
      </c>
      <c r="D204" s="35">
        <v>0</v>
      </c>
      <c r="E204" s="36">
        <v>0</v>
      </c>
      <c r="F204" s="36">
        <v>0</v>
      </c>
      <c r="G204" s="35">
        <v>0</v>
      </c>
      <c r="H204" s="36">
        <v>0</v>
      </c>
      <c r="I204" s="35">
        <v>0</v>
      </c>
      <c r="J204" s="36">
        <v>0</v>
      </c>
      <c r="K204" s="36">
        <v>0</v>
      </c>
      <c r="L204" s="35">
        <v>0</v>
      </c>
      <c r="M204" s="36">
        <v>0</v>
      </c>
      <c r="N204" s="35">
        <v>0</v>
      </c>
      <c r="O204" s="35">
        <v>0</v>
      </c>
      <c r="P204" s="35">
        <v>0</v>
      </c>
      <c r="Q204" s="36">
        <v>0</v>
      </c>
      <c r="R204" s="35">
        <v>0</v>
      </c>
      <c r="S204" s="35">
        <v>0</v>
      </c>
      <c r="T204" s="34">
        <v>1</v>
      </c>
      <c r="U204" s="35">
        <v>0</v>
      </c>
      <c r="V204" s="36">
        <v>0</v>
      </c>
      <c r="W204" s="36">
        <v>0</v>
      </c>
      <c r="X204" s="35">
        <v>0</v>
      </c>
      <c r="Y204" s="34">
        <v>2</v>
      </c>
      <c r="Z204" s="35">
        <v>0</v>
      </c>
      <c r="AA204" s="36">
        <v>0</v>
      </c>
      <c r="AB204" s="36">
        <v>0</v>
      </c>
      <c r="AC204" s="35">
        <v>0</v>
      </c>
    </row>
    <row r="205" spans="1:29" x14ac:dyDescent="0.3">
      <c r="A205" s="27" t="s">
        <v>305</v>
      </c>
      <c r="B205" s="35">
        <v>0</v>
      </c>
      <c r="C205" s="34">
        <v>1</v>
      </c>
      <c r="D205" s="35">
        <v>0</v>
      </c>
      <c r="E205" s="36">
        <v>0</v>
      </c>
      <c r="F205" s="36">
        <v>0</v>
      </c>
      <c r="G205" s="35">
        <v>0</v>
      </c>
      <c r="H205" s="36">
        <v>0</v>
      </c>
      <c r="I205" s="35">
        <v>0</v>
      </c>
      <c r="J205" s="36">
        <v>0</v>
      </c>
      <c r="K205" s="36">
        <v>0</v>
      </c>
      <c r="L205" s="35">
        <v>0</v>
      </c>
      <c r="M205" s="36">
        <v>0</v>
      </c>
      <c r="N205" s="35">
        <v>0</v>
      </c>
      <c r="O205" s="35">
        <v>0</v>
      </c>
      <c r="P205" s="35">
        <v>0</v>
      </c>
      <c r="Q205" s="36">
        <v>0</v>
      </c>
      <c r="R205" s="35">
        <v>0</v>
      </c>
      <c r="S205" s="35">
        <v>0</v>
      </c>
      <c r="T205" s="36">
        <v>0</v>
      </c>
      <c r="U205" s="35">
        <v>0</v>
      </c>
      <c r="V205" s="36">
        <v>0</v>
      </c>
      <c r="W205" s="36">
        <v>0</v>
      </c>
      <c r="X205" s="29">
        <v>1</v>
      </c>
      <c r="Y205" s="36">
        <v>0</v>
      </c>
      <c r="Z205" s="35">
        <v>0</v>
      </c>
      <c r="AA205" s="36">
        <v>0</v>
      </c>
      <c r="AB205" s="36">
        <v>0</v>
      </c>
      <c r="AC205" s="35">
        <v>0</v>
      </c>
    </row>
    <row r="206" spans="1:29" x14ac:dyDescent="0.3">
      <c r="A206" s="27" t="s">
        <v>306</v>
      </c>
      <c r="B206" s="35">
        <v>0</v>
      </c>
      <c r="C206" s="36">
        <v>0</v>
      </c>
      <c r="D206" s="35">
        <v>0</v>
      </c>
      <c r="E206" s="34">
        <v>1</v>
      </c>
      <c r="F206" s="36">
        <v>0</v>
      </c>
      <c r="G206" s="35">
        <v>0</v>
      </c>
      <c r="H206" s="36">
        <v>0</v>
      </c>
      <c r="I206" s="35">
        <v>0</v>
      </c>
      <c r="J206" s="36">
        <v>0</v>
      </c>
      <c r="K206" s="36">
        <v>0</v>
      </c>
      <c r="L206" s="29">
        <v>2</v>
      </c>
      <c r="M206" s="36">
        <v>0</v>
      </c>
      <c r="N206" s="29">
        <v>7</v>
      </c>
      <c r="O206" s="29">
        <v>5</v>
      </c>
      <c r="P206" s="35">
        <v>0</v>
      </c>
      <c r="Q206" s="36">
        <v>0</v>
      </c>
      <c r="R206" s="35">
        <v>0</v>
      </c>
      <c r="S206" s="29">
        <v>4</v>
      </c>
      <c r="T206" s="36">
        <v>0</v>
      </c>
      <c r="U206" s="29">
        <v>16</v>
      </c>
      <c r="V206" s="36">
        <v>0</v>
      </c>
      <c r="W206" s="34">
        <v>2</v>
      </c>
      <c r="X206" s="35">
        <v>0</v>
      </c>
      <c r="Y206" s="36">
        <v>0</v>
      </c>
      <c r="Z206" s="29">
        <v>2</v>
      </c>
      <c r="AA206" s="36">
        <v>0</v>
      </c>
      <c r="AB206" s="36">
        <v>0</v>
      </c>
      <c r="AC206" s="35">
        <v>0</v>
      </c>
    </row>
    <row r="207" spans="1:29" x14ac:dyDescent="0.3">
      <c r="A207" s="27" t="s">
        <v>307</v>
      </c>
      <c r="B207" s="35">
        <v>0</v>
      </c>
      <c r="C207" s="36">
        <v>0</v>
      </c>
      <c r="D207" s="35">
        <v>0</v>
      </c>
      <c r="E207" s="36">
        <v>0</v>
      </c>
      <c r="F207" s="36">
        <v>0</v>
      </c>
      <c r="G207" s="35">
        <v>0</v>
      </c>
      <c r="H207" s="36">
        <v>0</v>
      </c>
      <c r="I207" s="35">
        <v>0</v>
      </c>
      <c r="J207" s="36">
        <v>0</v>
      </c>
      <c r="K207" s="36">
        <v>0</v>
      </c>
      <c r="L207" s="35">
        <v>0</v>
      </c>
      <c r="M207" s="36">
        <v>0</v>
      </c>
      <c r="N207" s="35">
        <v>0</v>
      </c>
      <c r="O207" s="35">
        <v>0</v>
      </c>
      <c r="P207" s="35">
        <v>0</v>
      </c>
      <c r="Q207" s="36">
        <v>0</v>
      </c>
      <c r="R207" s="35">
        <v>0</v>
      </c>
      <c r="S207" s="35">
        <v>0</v>
      </c>
      <c r="T207" s="36">
        <v>0</v>
      </c>
      <c r="U207" s="35">
        <v>0</v>
      </c>
      <c r="V207" s="36">
        <v>0</v>
      </c>
      <c r="W207" s="36">
        <v>0</v>
      </c>
      <c r="X207" s="35">
        <v>0</v>
      </c>
      <c r="Y207" s="36">
        <v>0</v>
      </c>
      <c r="Z207" s="35">
        <v>0</v>
      </c>
      <c r="AA207" s="36">
        <v>0</v>
      </c>
      <c r="AB207" s="36">
        <v>0</v>
      </c>
      <c r="AC207" s="35">
        <v>0</v>
      </c>
    </row>
    <row r="208" spans="1:29" x14ac:dyDescent="0.3">
      <c r="A208" s="27" t="s">
        <v>308</v>
      </c>
      <c r="B208" s="29">
        <v>2</v>
      </c>
      <c r="C208" s="34">
        <v>18</v>
      </c>
      <c r="D208" s="29">
        <v>20</v>
      </c>
      <c r="E208" s="34">
        <v>54</v>
      </c>
      <c r="F208" s="36">
        <v>0</v>
      </c>
      <c r="G208" s="35">
        <v>0</v>
      </c>
      <c r="H208" s="34">
        <v>9</v>
      </c>
      <c r="I208" s="29">
        <v>13</v>
      </c>
      <c r="J208" s="34">
        <v>75</v>
      </c>
      <c r="K208" s="36">
        <v>0</v>
      </c>
      <c r="L208" s="35">
        <v>0</v>
      </c>
      <c r="M208" s="36">
        <v>0</v>
      </c>
      <c r="N208" s="29">
        <v>6</v>
      </c>
      <c r="O208" s="29">
        <v>14</v>
      </c>
      <c r="P208" s="35">
        <v>0</v>
      </c>
      <c r="Q208" s="36">
        <v>0</v>
      </c>
      <c r="R208" s="35">
        <v>0</v>
      </c>
      <c r="S208" s="29">
        <v>2</v>
      </c>
      <c r="T208" s="34">
        <v>10</v>
      </c>
      <c r="U208" s="29">
        <v>4</v>
      </c>
      <c r="V208" s="36">
        <v>0</v>
      </c>
      <c r="W208" s="34">
        <v>2</v>
      </c>
      <c r="X208" s="29">
        <v>4</v>
      </c>
      <c r="Y208" s="34">
        <v>19</v>
      </c>
      <c r="Z208" s="35">
        <v>0</v>
      </c>
      <c r="AA208" s="36">
        <v>0</v>
      </c>
      <c r="AB208" s="34">
        <v>1</v>
      </c>
      <c r="AC208" s="29">
        <v>3</v>
      </c>
    </row>
    <row r="209" spans="1:29" x14ac:dyDescent="0.3">
      <c r="A209" s="27" t="s">
        <v>309</v>
      </c>
      <c r="B209" s="35">
        <v>0</v>
      </c>
      <c r="C209" s="36">
        <v>0</v>
      </c>
      <c r="D209" s="35">
        <v>0</v>
      </c>
      <c r="E209" s="36">
        <v>0</v>
      </c>
      <c r="F209" s="36">
        <v>0</v>
      </c>
      <c r="G209" s="35">
        <v>0</v>
      </c>
      <c r="H209" s="36">
        <v>0</v>
      </c>
      <c r="I209" s="35">
        <v>0</v>
      </c>
      <c r="J209" s="36">
        <v>0</v>
      </c>
      <c r="K209" s="36">
        <v>0</v>
      </c>
      <c r="L209" s="35">
        <v>0</v>
      </c>
      <c r="M209" s="36">
        <v>0</v>
      </c>
      <c r="N209" s="35">
        <v>0</v>
      </c>
      <c r="O209" s="35">
        <v>0</v>
      </c>
      <c r="P209" s="29">
        <v>2</v>
      </c>
      <c r="Q209" s="36">
        <v>0</v>
      </c>
      <c r="R209" s="35">
        <v>0</v>
      </c>
      <c r="S209" s="35">
        <v>0</v>
      </c>
      <c r="T209" s="36">
        <v>0</v>
      </c>
      <c r="U209" s="35">
        <v>0</v>
      </c>
      <c r="V209" s="36">
        <v>0</v>
      </c>
      <c r="W209" s="36">
        <v>0</v>
      </c>
      <c r="X209" s="29">
        <v>1</v>
      </c>
      <c r="Y209" s="36">
        <v>0</v>
      </c>
      <c r="Z209" s="35">
        <v>0</v>
      </c>
      <c r="AA209" s="36">
        <v>0</v>
      </c>
      <c r="AB209" s="36">
        <v>0</v>
      </c>
      <c r="AC209" s="35">
        <v>0</v>
      </c>
    </row>
    <row r="210" spans="1:29" x14ac:dyDescent="0.3">
      <c r="A210" s="27" t="s">
        <v>310</v>
      </c>
      <c r="B210" s="35">
        <v>0</v>
      </c>
      <c r="C210" s="36">
        <v>0</v>
      </c>
      <c r="D210" s="35">
        <v>0</v>
      </c>
      <c r="E210" s="36">
        <v>0</v>
      </c>
      <c r="F210" s="36">
        <v>0</v>
      </c>
      <c r="G210" s="35">
        <v>0</v>
      </c>
      <c r="H210" s="36">
        <v>0</v>
      </c>
      <c r="I210" s="29">
        <v>6</v>
      </c>
      <c r="J210" s="34">
        <v>9</v>
      </c>
      <c r="K210" s="36">
        <v>0</v>
      </c>
      <c r="L210" s="35">
        <v>0</v>
      </c>
      <c r="M210" s="36">
        <v>0</v>
      </c>
      <c r="N210" s="35">
        <v>0</v>
      </c>
      <c r="O210" s="35">
        <v>0</v>
      </c>
      <c r="P210" s="29">
        <v>6</v>
      </c>
      <c r="Q210" s="36">
        <v>0</v>
      </c>
      <c r="R210" s="35">
        <v>0</v>
      </c>
      <c r="S210" s="35">
        <v>0</v>
      </c>
      <c r="T210" s="34">
        <v>1</v>
      </c>
      <c r="U210" s="35">
        <v>0</v>
      </c>
      <c r="V210" s="36">
        <v>0</v>
      </c>
      <c r="W210" s="36">
        <v>0</v>
      </c>
      <c r="X210" s="35">
        <v>0</v>
      </c>
      <c r="Y210" s="36">
        <v>0</v>
      </c>
      <c r="Z210" s="35">
        <v>0</v>
      </c>
      <c r="AA210" s="36">
        <v>0</v>
      </c>
      <c r="AB210" s="34">
        <v>2</v>
      </c>
      <c r="AC210" s="29">
        <v>1</v>
      </c>
    </row>
    <row r="211" spans="1:29" x14ac:dyDescent="0.3">
      <c r="A211" s="27" t="s">
        <v>311</v>
      </c>
      <c r="B211" s="35">
        <v>0</v>
      </c>
      <c r="C211" s="34">
        <v>2</v>
      </c>
      <c r="D211" s="29">
        <v>2</v>
      </c>
      <c r="E211" s="36">
        <v>0</v>
      </c>
      <c r="F211" s="34">
        <v>10</v>
      </c>
      <c r="G211" s="29">
        <v>6</v>
      </c>
      <c r="H211" s="36">
        <v>0</v>
      </c>
      <c r="I211" s="35">
        <v>0</v>
      </c>
      <c r="J211" s="36">
        <v>0</v>
      </c>
      <c r="K211" s="36">
        <v>0</v>
      </c>
      <c r="L211" s="35">
        <v>0</v>
      </c>
      <c r="M211" s="36">
        <v>0</v>
      </c>
      <c r="N211" s="29">
        <v>4</v>
      </c>
      <c r="O211" s="35">
        <v>0</v>
      </c>
      <c r="P211" s="29">
        <v>7</v>
      </c>
      <c r="Q211" s="36">
        <v>0</v>
      </c>
      <c r="R211" s="35">
        <v>0</v>
      </c>
      <c r="S211" s="35">
        <v>0</v>
      </c>
      <c r="T211" s="34">
        <v>4</v>
      </c>
      <c r="U211" s="29">
        <v>4</v>
      </c>
      <c r="V211" s="36">
        <v>0</v>
      </c>
      <c r="W211" s="36">
        <v>0</v>
      </c>
      <c r="X211" s="35">
        <v>0</v>
      </c>
      <c r="Y211" s="36">
        <v>0</v>
      </c>
      <c r="Z211" s="35">
        <v>0</v>
      </c>
      <c r="AA211" s="36">
        <v>0</v>
      </c>
      <c r="AB211" s="34">
        <v>3</v>
      </c>
      <c r="AC211" s="35">
        <v>0</v>
      </c>
    </row>
    <row r="212" spans="1:29" x14ac:dyDescent="0.3">
      <c r="A212" s="27" t="s">
        <v>312</v>
      </c>
      <c r="B212" s="35">
        <v>0</v>
      </c>
      <c r="C212" s="36">
        <v>0</v>
      </c>
      <c r="D212" s="35">
        <v>0</v>
      </c>
      <c r="E212" s="36">
        <v>0</v>
      </c>
      <c r="F212" s="36">
        <v>0</v>
      </c>
      <c r="G212" s="35">
        <v>0</v>
      </c>
      <c r="H212" s="36">
        <v>0</v>
      </c>
      <c r="I212" s="35">
        <v>0</v>
      </c>
      <c r="J212" s="36">
        <v>0</v>
      </c>
      <c r="K212" s="36">
        <v>0</v>
      </c>
      <c r="L212" s="35">
        <v>0</v>
      </c>
      <c r="M212" s="36">
        <v>0</v>
      </c>
      <c r="N212" s="35">
        <v>0</v>
      </c>
      <c r="O212" s="35">
        <v>0</v>
      </c>
      <c r="P212" s="35">
        <v>0</v>
      </c>
      <c r="Q212" s="36">
        <v>0</v>
      </c>
      <c r="R212" s="35">
        <v>0</v>
      </c>
      <c r="S212" s="35">
        <v>0</v>
      </c>
      <c r="T212" s="36">
        <v>0</v>
      </c>
      <c r="U212" s="35">
        <v>0</v>
      </c>
      <c r="V212" s="36">
        <v>0</v>
      </c>
      <c r="W212" s="36">
        <v>0</v>
      </c>
      <c r="X212" s="29">
        <v>1</v>
      </c>
      <c r="Y212" s="36">
        <v>0</v>
      </c>
      <c r="Z212" s="35">
        <v>0</v>
      </c>
      <c r="AA212" s="36">
        <v>0</v>
      </c>
      <c r="AB212" s="36">
        <v>0</v>
      </c>
      <c r="AC212" s="35">
        <v>0</v>
      </c>
    </row>
    <row r="213" spans="1:29" x14ac:dyDescent="0.3">
      <c r="A213" s="27" t="s">
        <v>313</v>
      </c>
      <c r="B213" s="35">
        <v>0</v>
      </c>
      <c r="C213" s="36">
        <v>0</v>
      </c>
      <c r="D213" s="35">
        <v>0</v>
      </c>
      <c r="E213" s="36">
        <v>0</v>
      </c>
      <c r="F213" s="36">
        <v>0</v>
      </c>
      <c r="G213" s="35">
        <v>0</v>
      </c>
      <c r="H213" s="36">
        <v>0</v>
      </c>
      <c r="I213" s="35">
        <v>0</v>
      </c>
      <c r="J213" s="34">
        <v>5</v>
      </c>
      <c r="K213" s="34">
        <v>4</v>
      </c>
      <c r="L213" s="35">
        <v>0</v>
      </c>
      <c r="M213" s="36">
        <v>0</v>
      </c>
      <c r="N213" s="35">
        <v>0</v>
      </c>
      <c r="O213" s="35">
        <v>0</v>
      </c>
      <c r="P213" s="35">
        <v>0</v>
      </c>
      <c r="Q213" s="36">
        <v>0</v>
      </c>
      <c r="R213" s="35">
        <v>0</v>
      </c>
      <c r="S213" s="29">
        <v>2</v>
      </c>
      <c r="T213" s="36">
        <v>0</v>
      </c>
      <c r="U213" s="35">
        <v>0</v>
      </c>
      <c r="V213" s="36">
        <v>0</v>
      </c>
      <c r="W213" s="36">
        <v>0</v>
      </c>
      <c r="X213" s="35">
        <v>0</v>
      </c>
      <c r="Y213" s="36">
        <v>0</v>
      </c>
      <c r="Z213" s="35">
        <v>0</v>
      </c>
      <c r="AA213" s="36">
        <v>0</v>
      </c>
      <c r="AB213" s="36">
        <v>0</v>
      </c>
      <c r="AC213" s="35">
        <v>0</v>
      </c>
    </row>
    <row r="214" spans="1:29" x14ac:dyDescent="0.3">
      <c r="A214" s="27" t="s">
        <v>314</v>
      </c>
      <c r="B214" s="35">
        <v>0</v>
      </c>
      <c r="C214" s="36">
        <v>0</v>
      </c>
      <c r="D214" s="35">
        <v>0</v>
      </c>
      <c r="E214" s="36">
        <v>0</v>
      </c>
      <c r="F214" s="36">
        <v>0</v>
      </c>
      <c r="G214" s="35">
        <v>0</v>
      </c>
      <c r="H214" s="36">
        <v>0</v>
      </c>
      <c r="I214" s="35">
        <v>0</v>
      </c>
      <c r="J214" s="36">
        <v>0</v>
      </c>
      <c r="K214" s="36">
        <v>0</v>
      </c>
      <c r="L214" s="35">
        <v>0</v>
      </c>
      <c r="M214" s="36">
        <v>0</v>
      </c>
      <c r="N214" s="35">
        <v>0</v>
      </c>
      <c r="O214" s="35">
        <v>0</v>
      </c>
      <c r="P214" s="35">
        <v>0</v>
      </c>
      <c r="Q214" s="36">
        <v>0</v>
      </c>
      <c r="R214" s="35">
        <v>0</v>
      </c>
      <c r="S214" s="35">
        <v>0</v>
      </c>
      <c r="T214" s="36">
        <v>0</v>
      </c>
      <c r="U214" s="35">
        <v>0</v>
      </c>
      <c r="V214" s="36">
        <v>0</v>
      </c>
      <c r="W214" s="36">
        <v>0</v>
      </c>
      <c r="X214" s="35">
        <v>0</v>
      </c>
      <c r="Y214" s="36">
        <v>0</v>
      </c>
      <c r="Z214" s="35">
        <v>0</v>
      </c>
      <c r="AA214" s="36">
        <v>0</v>
      </c>
      <c r="AB214" s="36">
        <v>0</v>
      </c>
      <c r="AC214" s="35">
        <v>0</v>
      </c>
    </row>
    <row r="215" spans="1:29" x14ac:dyDescent="0.3">
      <c r="A215" s="27" t="s">
        <v>315</v>
      </c>
      <c r="B215" s="35">
        <v>0</v>
      </c>
      <c r="C215" s="34">
        <v>3</v>
      </c>
      <c r="D215" s="35">
        <v>0</v>
      </c>
      <c r="E215" s="36">
        <v>0</v>
      </c>
      <c r="F215" s="36">
        <v>0</v>
      </c>
      <c r="G215" s="35">
        <v>0</v>
      </c>
      <c r="H215" s="36">
        <v>0</v>
      </c>
      <c r="I215" s="35">
        <v>0</v>
      </c>
      <c r="J215" s="36">
        <v>0</v>
      </c>
      <c r="K215" s="36">
        <v>0</v>
      </c>
      <c r="L215" s="35">
        <v>0</v>
      </c>
      <c r="M215" s="36">
        <v>0</v>
      </c>
      <c r="N215" s="35">
        <v>0</v>
      </c>
      <c r="O215" s="35">
        <v>0</v>
      </c>
      <c r="P215" s="35">
        <v>0</v>
      </c>
      <c r="Q215" s="36">
        <v>0</v>
      </c>
      <c r="R215" s="35">
        <v>0</v>
      </c>
      <c r="S215" s="35">
        <v>0</v>
      </c>
      <c r="T215" s="36">
        <v>0</v>
      </c>
      <c r="U215" s="35">
        <v>0</v>
      </c>
      <c r="V215" s="36">
        <v>0</v>
      </c>
      <c r="W215" s="36">
        <v>0</v>
      </c>
      <c r="X215" s="35">
        <v>0</v>
      </c>
      <c r="Y215" s="36">
        <v>0</v>
      </c>
      <c r="Z215" s="35">
        <v>0</v>
      </c>
      <c r="AA215" s="36">
        <v>0</v>
      </c>
      <c r="AB215" s="36">
        <v>0</v>
      </c>
      <c r="AC215" s="29">
        <v>1</v>
      </c>
    </row>
    <row r="216" spans="1:29" x14ac:dyDescent="0.3">
      <c r="A216" s="27" t="s">
        <v>316</v>
      </c>
      <c r="B216" s="35">
        <v>0</v>
      </c>
      <c r="C216" s="34">
        <v>1</v>
      </c>
      <c r="D216" s="29">
        <v>2</v>
      </c>
      <c r="E216" s="34">
        <v>2</v>
      </c>
      <c r="F216" s="36">
        <v>0</v>
      </c>
      <c r="G216" s="35">
        <v>0</v>
      </c>
      <c r="H216" s="36">
        <v>0</v>
      </c>
      <c r="I216" s="35">
        <v>0</v>
      </c>
      <c r="J216" s="36">
        <v>0</v>
      </c>
      <c r="K216" s="36">
        <v>0</v>
      </c>
      <c r="L216" s="35">
        <v>0</v>
      </c>
      <c r="M216" s="36">
        <v>0</v>
      </c>
      <c r="N216" s="29">
        <v>3</v>
      </c>
      <c r="O216" s="35">
        <v>0</v>
      </c>
      <c r="P216" s="35">
        <v>0</v>
      </c>
      <c r="Q216" s="34">
        <v>1</v>
      </c>
      <c r="R216" s="35">
        <v>0</v>
      </c>
      <c r="S216" s="35">
        <v>0</v>
      </c>
      <c r="T216" s="36">
        <v>0</v>
      </c>
      <c r="U216" s="35">
        <v>0</v>
      </c>
      <c r="V216" s="36">
        <v>0</v>
      </c>
      <c r="W216" s="36">
        <v>0</v>
      </c>
      <c r="X216" s="35">
        <v>0</v>
      </c>
      <c r="Y216" s="36">
        <v>0</v>
      </c>
      <c r="Z216" s="35">
        <v>0</v>
      </c>
      <c r="AA216" s="36">
        <v>0</v>
      </c>
      <c r="AB216" s="36">
        <v>0</v>
      </c>
      <c r="AC216" s="35">
        <v>0</v>
      </c>
    </row>
    <row r="217" spans="1:29" x14ac:dyDescent="0.3">
      <c r="A217" s="27" t="s">
        <v>317</v>
      </c>
      <c r="B217" s="29">
        <v>33</v>
      </c>
      <c r="C217" s="34">
        <v>32</v>
      </c>
      <c r="D217" s="29">
        <v>24</v>
      </c>
      <c r="E217" s="34">
        <v>22</v>
      </c>
      <c r="F217" s="34">
        <v>19</v>
      </c>
      <c r="G217" s="29">
        <v>8</v>
      </c>
      <c r="H217" s="34">
        <v>15</v>
      </c>
      <c r="I217" s="29">
        <v>8</v>
      </c>
      <c r="J217" s="36">
        <v>0</v>
      </c>
      <c r="K217" s="34">
        <v>10</v>
      </c>
      <c r="L217" s="29">
        <v>95</v>
      </c>
      <c r="M217" s="34">
        <v>4</v>
      </c>
      <c r="N217" s="29">
        <v>8</v>
      </c>
      <c r="O217" s="29">
        <v>62</v>
      </c>
      <c r="P217" s="29">
        <v>5</v>
      </c>
      <c r="Q217" s="34">
        <v>6</v>
      </c>
      <c r="R217" s="35">
        <v>0</v>
      </c>
      <c r="S217" s="35">
        <v>0</v>
      </c>
      <c r="T217" s="34">
        <v>1</v>
      </c>
      <c r="U217" s="29">
        <v>18</v>
      </c>
      <c r="V217" s="34">
        <v>1</v>
      </c>
      <c r="W217" s="34">
        <v>10</v>
      </c>
      <c r="X217" s="29">
        <v>3</v>
      </c>
      <c r="Y217" s="34">
        <v>8</v>
      </c>
      <c r="Z217" s="29">
        <v>5</v>
      </c>
      <c r="AA217" s="34">
        <v>1</v>
      </c>
      <c r="AB217" s="34">
        <v>2</v>
      </c>
      <c r="AC217" s="29">
        <v>36</v>
      </c>
    </row>
    <row r="218" spans="1:29" x14ac:dyDescent="0.3">
      <c r="A218" s="27" t="s">
        <v>318</v>
      </c>
      <c r="B218" s="35">
        <v>0</v>
      </c>
      <c r="C218" s="36">
        <v>0</v>
      </c>
      <c r="D218" s="35">
        <v>0</v>
      </c>
      <c r="E218" s="36">
        <v>0</v>
      </c>
      <c r="F218" s="36">
        <v>0</v>
      </c>
      <c r="G218" s="35">
        <v>0</v>
      </c>
      <c r="H218" s="36">
        <v>0</v>
      </c>
      <c r="I218" s="35">
        <v>0</v>
      </c>
      <c r="J218" s="36">
        <v>0</v>
      </c>
      <c r="K218" s="36">
        <v>0</v>
      </c>
      <c r="L218" s="35">
        <v>0</v>
      </c>
      <c r="M218" s="36">
        <v>0</v>
      </c>
      <c r="N218" s="35">
        <v>0</v>
      </c>
      <c r="O218" s="35">
        <v>0</v>
      </c>
      <c r="P218" s="35">
        <v>0</v>
      </c>
      <c r="Q218" s="36">
        <v>0</v>
      </c>
      <c r="R218" s="35">
        <v>0</v>
      </c>
      <c r="S218" s="35">
        <v>0</v>
      </c>
      <c r="T218" s="36">
        <v>0</v>
      </c>
      <c r="U218" s="35">
        <v>0</v>
      </c>
      <c r="V218" s="36">
        <v>0</v>
      </c>
      <c r="W218" s="36">
        <v>0</v>
      </c>
      <c r="X218" s="35">
        <v>0</v>
      </c>
      <c r="Y218" s="36">
        <v>0</v>
      </c>
      <c r="Z218" s="35">
        <v>0</v>
      </c>
      <c r="AA218" s="36">
        <v>0</v>
      </c>
      <c r="AB218" s="36">
        <v>0</v>
      </c>
      <c r="AC218" s="35">
        <v>0</v>
      </c>
    </row>
    <row r="219" spans="1:29" x14ac:dyDescent="0.3">
      <c r="A219" s="21" t="s">
        <v>319</v>
      </c>
      <c r="B219" s="35">
        <v>0</v>
      </c>
      <c r="C219" s="36">
        <v>0</v>
      </c>
      <c r="D219" s="35">
        <v>0</v>
      </c>
      <c r="E219" s="36">
        <v>0</v>
      </c>
      <c r="F219" s="36">
        <v>0</v>
      </c>
      <c r="G219" s="35">
        <v>0</v>
      </c>
      <c r="H219" s="36">
        <v>0</v>
      </c>
      <c r="I219" s="35">
        <v>0</v>
      </c>
      <c r="J219" s="36">
        <v>0</v>
      </c>
      <c r="K219" s="36">
        <v>0</v>
      </c>
      <c r="L219" s="35">
        <v>0</v>
      </c>
      <c r="M219" s="36">
        <v>0</v>
      </c>
      <c r="N219" s="35">
        <v>0</v>
      </c>
      <c r="O219" s="35">
        <v>0</v>
      </c>
      <c r="P219" s="35">
        <v>0</v>
      </c>
      <c r="Q219" s="36">
        <v>0</v>
      </c>
      <c r="R219" s="35">
        <v>0</v>
      </c>
      <c r="S219" s="35">
        <v>0</v>
      </c>
      <c r="T219" s="36">
        <v>0</v>
      </c>
      <c r="U219" s="35">
        <v>0</v>
      </c>
      <c r="V219" s="36">
        <v>0</v>
      </c>
      <c r="W219" s="36">
        <v>0</v>
      </c>
      <c r="X219" s="35">
        <v>0</v>
      </c>
      <c r="Y219" s="36">
        <v>0</v>
      </c>
      <c r="Z219" s="35">
        <v>0</v>
      </c>
      <c r="AA219" s="36">
        <v>0</v>
      </c>
      <c r="AB219" s="36">
        <v>0</v>
      </c>
      <c r="AC219" s="35">
        <v>0</v>
      </c>
    </row>
    <row r="220" spans="1:29" x14ac:dyDescent="0.3">
      <c r="A220" s="27" t="s">
        <v>320</v>
      </c>
      <c r="B220" s="29">
        <v>1</v>
      </c>
      <c r="C220" s="34">
        <v>1</v>
      </c>
      <c r="D220" s="35">
        <v>0</v>
      </c>
      <c r="E220" s="36">
        <v>0</v>
      </c>
      <c r="F220" s="36">
        <v>0</v>
      </c>
      <c r="G220" s="29">
        <v>1</v>
      </c>
      <c r="H220" s="34">
        <v>1</v>
      </c>
      <c r="I220" s="35">
        <v>0</v>
      </c>
      <c r="J220" s="36">
        <v>0</v>
      </c>
      <c r="K220" s="36">
        <v>0</v>
      </c>
      <c r="L220" s="35">
        <v>0</v>
      </c>
      <c r="M220" s="36">
        <v>0</v>
      </c>
      <c r="N220" s="35">
        <v>0</v>
      </c>
      <c r="O220" s="35">
        <v>0</v>
      </c>
      <c r="P220" s="35">
        <v>0</v>
      </c>
      <c r="Q220" s="36">
        <v>0</v>
      </c>
      <c r="R220" s="35">
        <v>0</v>
      </c>
      <c r="S220" s="35">
        <v>0</v>
      </c>
      <c r="T220" s="36">
        <v>0</v>
      </c>
      <c r="U220" s="35">
        <v>0</v>
      </c>
      <c r="V220" s="36">
        <v>0</v>
      </c>
      <c r="W220" s="36">
        <v>0</v>
      </c>
      <c r="X220" s="35">
        <v>0</v>
      </c>
      <c r="Y220" s="36">
        <v>0</v>
      </c>
      <c r="Z220" s="35">
        <v>0</v>
      </c>
      <c r="AA220" s="36">
        <v>0</v>
      </c>
      <c r="AB220" s="36">
        <v>0</v>
      </c>
      <c r="AC220" s="35">
        <v>0</v>
      </c>
    </row>
    <row r="221" spans="1:29" x14ac:dyDescent="0.3">
      <c r="A221" s="27" t="s">
        <v>321</v>
      </c>
      <c r="B221" s="35">
        <v>0</v>
      </c>
      <c r="C221" s="36">
        <v>0</v>
      </c>
      <c r="D221" s="35">
        <v>0</v>
      </c>
      <c r="E221" s="36">
        <v>0</v>
      </c>
      <c r="F221" s="36">
        <v>0</v>
      </c>
      <c r="G221" s="35">
        <v>0</v>
      </c>
      <c r="H221" s="36">
        <v>0</v>
      </c>
      <c r="I221" s="35">
        <v>0</v>
      </c>
      <c r="J221" s="36">
        <v>0</v>
      </c>
      <c r="K221" s="36">
        <v>0</v>
      </c>
      <c r="L221" s="35">
        <v>0</v>
      </c>
      <c r="M221" s="36">
        <v>0</v>
      </c>
      <c r="N221" s="35">
        <v>0</v>
      </c>
      <c r="O221" s="35">
        <v>0</v>
      </c>
      <c r="P221" s="35">
        <v>0</v>
      </c>
      <c r="Q221" s="36">
        <v>0</v>
      </c>
      <c r="R221" s="35">
        <v>0</v>
      </c>
      <c r="S221" s="35">
        <v>0</v>
      </c>
      <c r="T221" s="36">
        <v>0</v>
      </c>
      <c r="U221" s="29">
        <v>1</v>
      </c>
      <c r="V221" s="36">
        <v>0</v>
      </c>
      <c r="W221" s="36">
        <v>0</v>
      </c>
      <c r="X221" s="35">
        <v>0</v>
      </c>
      <c r="Y221" s="34">
        <v>1</v>
      </c>
      <c r="Z221" s="29">
        <v>1</v>
      </c>
      <c r="AA221" s="36">
        <v>0</v>
      </c>
      <c r="AB221" s="36">
        <v>0</v>
      </c>
      <c r="AC221" s="29">
        <v>1</v>
      </c>
    </row>
    <row r="222" spans="1:29" x14ac:dyDescent="0.3">
      <c r="A222" s="21" t="s">
        <v>322</v>
      </c>
      <c r="B222" s="29">
        <v>1</v>
      </c>
      <c r="C222" s="36">
        <v>0</v>
      </c>
      <c r="D222" s="35">
        <v>0</v>
      </c>
      <c r="E222" s="36">
        <v>0</v>
      </c>
      <c r="F222" s="36">
        <v>0</v>
      </c>
      <c r="G222" s="35">
        <v>0</v>
      </c>
      <c r="H222" s="36">
        <v>0</v>
      </c>
      <c r="I222" s="35">
        <v>0</v>
      </c>
      <c r="J222" s="36">
        <v>0</v>
      </c>
      <c r="K222" s="36">
        <v>0</v>
      </c>
      <c r="L222" s="35">
        <v>0</v>
      </c>
      <c r="M222" s="36">
        <v>0</v>
      </c>
      <c r="N222" s="35">
        <v>0</v>
      </c>
      <c r="O222" s="35">
        <v>0</v>
      </c>
      <c r="P222" s="35">
        <v>0</v>
      </c>
      <c r="Q222" s="36">
        <v>0</v>
      </c>
      <c r="R222" s="35">
        <v>0</v>
      </c>
      <c r="S222" s="35">
        <v>0</v>
      </c>
      <c r="T222" s="36">
        <v>0</v>
      </c>
      <c r="U222" s="35">
        <v>0</v>
      </c>
      <c r="V222" s="36">
        <v>0</v>
      </c>
      <c r="W222" s="36">
        <v>0</v>
      </c>
      <c r="X222" s="35">
        <v>0</v>
      </c>
      <c r="Y222" s="36">
        <v>0</v>
      </c>
      <c r="Z222" s="35">
        <v>0</v>
      </c>
      <c r="AA222" s="36">
        <v>0</v>
      </c>
      <c r="AB222" s="36">
        <v>0</v>
      </c>
      <c r="AC222" s="35">
        <v>0</v>
      </c>
    </row>
    <row r="223" spans="1:29" x14ac:dyDescent="0.3">
      <c r="A223" s="21" t="s">
        <v>323</v>
      </c>
      <c r="B223" s="35">
        <v>0</v>
      </c>
      <c r="C223" s="36">
        <v>0</v>
      </c>
      <c r="D223" s="35">
        <v>0</v>
      </c>
      <c r="E223" s="36">
        <v>0</v>
      </c>
      <c r="F223" s="36">
        <v>0</v>
      </c>
      <c r="G223" s="35">
        <v>0</v>
      </c>
      <c r="H223" s="36">
        <v>0</v>
      </c>
      <c r="I223" s="35">
        <v>0</v>
      </c>
      <c r="J223" s="36">
        <v>0</v>
      </c>
      <c r="K223" s="36">
        <v>0</v>
      </c>
      <c r="L223" s="35">
        <v>0</v>
      </c>
      <c r="M223" s="36">
        <v>0</v>
      </c>
      <c r="N223" s="35">
        <v>0</v>
      </c>
      <c r="O223" s="35">
        <v>0</v>
      </c>
      <c r="P223" s="35">
        <v>0</v>
      </c>
      <c r="Q223" s="36">
        <v>0</v>
      </c>
      <c r="R223" s="35">
        <v>0</v>
      </c>
      <c r="S223" s="35">
        <v>0</v>
      </c>
      <c r="T223" s="36">
        <v>0</v>
      </c>
      <c r="U223" s="35">
        <v>0</v>
      </c>
      <c r="V223" s="36">
        <v>0</v>
      </c>
      <c r="W223" s="36">
        <v>0</v>
      </c>
      <c r="X223" s="35">
        <v>0</v>
      </c>
      <c r="Y223" s="36">
        <v>0</v>
      </c>
      <c r="Z223" s="35">
        <v>0</v>
      </c>
      <c r="AA223" s="36">
        <v>0</v>
      </c>
      <c r="AB223" s="36">
        <v>0</v>
      </c>
      <c r="AC223" s="35">
        <v>0</v>
      </c>
    </row>
    <row r="224" spans="1:29" x14ac:dyDescent="0.3">
      <c r="A224" s="21" t="s">
        <v>324</v>
      </c>
      <c r="B224" s="35">
        <v>0</v>
      </c>
      <c r="C224" s="36">
        <v>0</v>
      </c>
      <c r="D224" s="35">
        <v>0</v>
      </c>
      <c r="E224" s="36">
        <v>0</v>
      </c>
      <c r="F224" s="36">
        <v>0</v>
      </c>
      <c r="G224" s="35">
        <v>0</v>
      </c>
      <c r="H224" s="36">
        <v>0</v>
      </c>
      <c r="I224" s="35">
        <v>0</v>
      </c>
      <c r="J224" s="36">
        <v>0</v>
      </c>
      <c r="K224" s="36">
        <v>0</v>
      </c>
      <c r="L224" s="35">
        <v>0</v>
      </c>
      <c r="M224" s="36">
        <v>0</v>
      </c>
      <c r="N224" s="35">
        <v>0</v>
      </c>
      <c r="O224" s="35">
        <v>0</v>
      </c>
      <c r="P224" s="35">
        <v>0</v>
      </c>
      <c r="Q224" s="36">
        <v>0</v>
      </c>
      <c r="R224" s="35">
        <v>0</v>
      </c>
      <c r="S224" s="35">
        <v>0</v>
      </c>
      <c r="T224" s="36">
        <v>0</v>
      </c>
      <c r="U224" s="35">
        <v>0</v>
      </c>
      <c r="V224" s="36">
        <v>0</v>
      </c>
      <c r="W224" s="36">
        <v>0</v>
      </c>
      <c r="X224" s="35">
        <v>0</v>
      </c>
      <c r="Y224" s="36">
        <v>0</v>
      </c>
      <c r="Z224" s="35">
        <v>0</v>
      </c>
      <c r="AA224" s="36">
        <v>0</v>
      </c>
      <c r="AB224" s="36">
        <v>0</v>
      </c>
      <c r="AC224" s="35">
        <v>0</v>
      </c>
    </row>
    <row r="225" spans="1:29" x14ac:dyDescent="0.3">
      <c r="A225" s="27" t="s">
        <v>325</v>
      </c>
      <c r="B225" s="35">
        <v>0</v>
      </c>
      <c r="C225" s="36">
        <v>0</v>
      </c>
      <c r="D225" s="29">
        <v>1</v>
      </c>
      <c r="E225" s="36">
        <v>0</v>
      </c>
      <c r="F225" s="36">
        <v>0</v>
      </c>
      <c r="G225" s="35">
        <v>0</v>
      </c>
      <c r="H225" s="36">
        <v>0</v>
      </c>
      <c r="I225" s="35">
        <v>0</v>
      </c>
      <c r="J225" s="36">
        <v>0</v>
      </c>
      <c r="K225" s="36">
        <v>0</v>
      </c>
      <c r="L225" s="35">
        <v>0</v>
      </c>
      <c r="M225" s="36">
        <v>0</v>
      </c>
      <c r="N225" s="35">
        <v>0</v>
      </c>
      <c r="O225" s="35">
        <v>0</v>
      </c>
      <c r="P225" s="29">
        <v>2</v>
      </c>
      <c r="Q225" s="36">
        <v>0</v>
      </c>
      <c r="R225" s="35">
        <v>0</v>
      </c>
      <c r="S225" s="35">
        <v>0</v>
      </c>
      <c r="T225" s="36">
        <v>0</v>
      </c>
      <c r="U225" s="35">
        <v>0</v>
      </c>
      <c r="V225" s="36">
        <v>0</v>
      </c>
      <c r="W225" s="36">
        <v>0</v>
      </c>
      <c r="X225" s="35">
        <v>0</v>
      </c>
      <c r="Y225" s="36">
        <v>0</v>
      </c>
      <c r="Z225" s="35">
        <v>0</v>
      </c>
      <c r="AA225" s="36">
        <v>0</v>
      </c>
      <c r="AB225" s="36">
        <v>0</v>
      </c>
      <c r="AC225" s="29">
        <v>1</v>
      </c>
    </row>
    <row r="226" spans="1:29" x14ac:dyDescent="0.3">
      <c r="A226" s="27" t="s">
        <v>326</v>
      </c>
      <c r="B226" s="35">
        <v>0</v>
      </c>
      <c r="C226" s="36">
        <v>0</v>
      </c>
      <c r="D226" s="35">
        <v>0</v>
      </c>
      <c r="E226" s="36">
        <v>0</v>
      </c>
      <c r="F226" s="36">
        <v>0</v>
      </c>
      <c r="G226" s="35">
        <v>0</v>
      </c>
      <c r="H226" s="36">
        <v>0</v>
      </c>
      <c r="I226" s="35">
        <v>0</v>
      </c>
      <c r="J226" s="36">
        <v>0</v>
      </c>
      <c r="K226" s="36">
        <v>0</v>
      </c>
      <c r="L226" s="35">
        <v>0</v>
      </c>
      <c r="M226" s="36">
        <v>0</v>
      </c>
      <c r="N226" s="35">
        <v>0</v>
      </c>
      <c r="O226" s="35">
        <v>0</v>
      </c>
      <c r="P226" s="35">
        <v>0</v>
      </c>
      <c r="Q226" s="36">
        <v>0</v>
      </c>
      <c r="R226" s="35">
        <v>0</v>
      </c>
      <c r="S226" s="35">
        <v>0</v>
      </c>
      <c r="T226" s="36">
        <v>0</v>
      </c>
      <c r="U226" s="35">
        <v>0</v>
      </c>
      <c r="V226" s="36">
        <v>0</v>
      </c>
      <c r="W226" s="36">
        <v>0</v>
      </c>
      <c r="X226" s="35">
        <v>0</v>
      </c>
      <c r="Y226" s="36">
        <v>0</v>
      </c>
      <c r="Z226" s="35">
        <v>0</v>
      </c>
      <c r="AA226" s="36">
        <v>0</v>
      </c>
      <c r="AB226" s="36">
        <v>0</v>
      </c>
      <c r="AC226" s="35">
        <v>0</v>
      </c>
    </row>
    <row r="227" spans="1:29" x14ac:dyDescent="0.3">
      <c r="A227" s="27" t="s">
        <v>327</v>
      </c>
      <c r="B227" s="35">
        <v>0</v>
      </c>
      <c r="C227" s="36">
        <v>0</v>
      </c>
      <c r="D227" s="35">
        <v>0</v>
      </c>
      <c r="E227" s="36">
        <v>0</v>
      </c>
      <c r="F227" s="36">
        <v>0</v>
      </c>
      <c r="G227" s="35">
        <v>0</v>
      </c>
      <c r="H227" s="36">
        <v>0</v>
      </c>
      <c r="I227" s="35">
        <v>0</v>
      </c>
      <c r="J227" s="36">
        <v>0</v>
      </c>
      <c r="K227" s="36">
        <v>0</v>
      </c>
      <c r="L227" s="35">
        <v>0</v>
      </c>
      <c r="M227" s="36">
        <v>0</v>
      </c>
      <c r="N227" s="35">
        <v>0</v>
      </c>
      <c r="O227" s="35">
        <v>0</v>
      </c>
      <c r="P227" s="35">
        <v>0</v>
      </c>
      <c r="Q227" s="36">
        <v>0</v>
      </c>
      <c r="R227" s="35">
        <v>0</v>
      </c>
      <c r="S227" s="29">
        <v>1</v>
      </c>
      <c r="T227" s="36">
        <v>0</v>
      </c>
      <c r="U227" s="35">
        <v>0</v>
      </c>
      <c r="V227" s="36">
        <v>0</v>
      </c>
      <c r="W227" s="36">
        <v>0</v>
      </c>
      <c r="X227" s="35">
        <v>0</v>
      </c>
      <c r="Y227" s="36">
        <v>0</v>
      </c>
      <c r="Z227" s="35">
        <v>0</v>
      </c>
      <c r="AA227" s="36">
        <v>0</v>
      </c>
      <c r="AB227" s="36">
        <v>0</v>
      </c>
      <c r="AC227" s="35">
        <v>0</v>
      </c>
    </row>
    <row r="228" spans="1:29" x14ac:dyDescent="0.3">
      <c r="A228" s="27" t="s">
        <v>328</v>
      </c>
      <c r="B228" s="35">
        <v>0</v>
      </c>
      <c r="C228" s="36">
        <v>0</v>
      </c>
      <c r="D228" s="35">
        <v>0</v>
      </c>
      <c r="E228" s="36">
        <v>0</v>
      </c>
      <c r="F228" s="34">
        <v>6</v>
      </c>
      <c r="G228" s="35">
        <v>0</v>
      </c>
      <c r="H228" s="36">
        <v>0</v>
      </c>
      <c r="I228" s="35">
        <v>0</v>
      </c>
      <c r="J228" s="36">
        <v>0</v>
      </c>
      <c r="K228" s="36">
        <v>0</v>
      </c>
      <c r="L228" s="29">
        <v>1</v>
      </c>
      <c r="M228" s="36">
        <v>0</v>
      </c>
      <c r="N228" s="35">
        <v>0</v>
      </c>
      <c r="O228" s="29">
        <v>3</v>
      </c>
      <c r="P228" s="35">
        <v>0</v>
      </c>
      <c r="Q228" s="36">
        <v>0</v>
      </c>
      <c r="R228" s="35">
        <v>0</v>
      </c>
      <c r="S228" s="35">
        <v>0</v>
      </c>
      <c r="T228" s="36">
        <v>0</v>
      </c>
      <c r="U228" s="35">
        <v>0</v>
      </c>
      <c r="V228" s="36">
        <v>0</v>
      </c>
      <c r="W228" s="36">
        <v>0</v>
      </c>
      <c r="X228" s="35">
        <v>0</v>
      </c>
      <c r="Y228" s="36">
        <v>0</v>
      </c>
      <c r="Z228" s="35">
        <v>0</v>
      </c>
      <c r="AA228" s="36">
        <v>0</v>
      </c>
      <c r="AB228" s="36">
        <v>0</v>
      </c>
      <c r="AC228" s="35">
        <v>0</v>
      </c>
    </row>
    <row r="229" spans="1:29" x14ac:dyDescent="0.3">
      <c r="A229" s="27" t="s">
        <v>329</v>
      </c>
      <c r="B229" s="35">
        <v>0</v>
      </c>
      <c r="C229" s="34">
        <v>9</v>
      </c>
      <c r="D229" s="29">
        <v>3</v>
      </c>
      <c r="E229" s="34">
        <v>28</v>
      </c>
      <c r="F229" s="34">
        <v>36</v>
      </c>
      <c r="G229" s="29">
        <v>8</v>
      </c>
      <c r="H229" s="34">
        <v>13</v>
      </c>
      <c r="I229" s="29">
        <v>9</v>
      </c>
      <c r="J229" s="34">
        <v>7</v>
      </c>
      <c r="K229" s="34">
        <v>26</v>
      </c>
      <c r="L229" s="29">
        <v>8</v>
      </c>
      <c r="M229" s="34">
        <v>7</v>
      </c>
      <c r="N229" s="29">
        <v>7</v>
      </c>
      <c r="O229" s="29">
        <v>17</v>
      </c>
      <c r="P229" s="35">
        <v>0</v>
      </c>
      <c r="Q229" s="34">
        <v>1</v>
      </c>
      <c r="R229" s="35">
        <v>0</v>
      </c>
      <c r="S229" s="35">
        <v>0</v>
      </c>
      <c r="T229" s="36">
        <v>0</v>
      </c>
      <c r="U229" s="35">
        <v>0</v>
      </c>
      <c r="V229" s="36">
        <v>0</v>
      </c>
      <c r="W229" s="36">
        <v>0</v>
      </c>
      <c r="X229" s="35">
        <v>0</v>
      </c>
      <c r="Y229" s="36">
        <v>0</v>
      </c>
      <c r="Z229" s="35">
        <v>0</v>
      </c>
      <c r="AA229" s="36">
        <v>0</v>
      </c>
      <c r="AB229" s="36">
        <v>0</v>
      </c>
      <c r="AC229" s="35">
        <v>0</v>
      </c>
    </row>
    <row r="230" spans="1:29" x14ac:dyDescent="0.3">
      <c r="A230" s="27" t="s">
        <v>330</v>
      </c>
      <c r="B230" s="35">
        <v>0</v>
      </c>
      <c r="C230" s="36">
        <v>0</v>
      </c>
      <c r="D230" s="35">
        <v>0</v>
      </c>
      <c r="E230" s="36">
        <v>0</v>
      </c>
      <c r="F230" s="36">
        <v>0</v>
      </c>
      <c r="G230" s="35">
        <v>0</v>
      </c>
      <c r="H230" s="36">
        <v>0</v>
      </c>
      <c r="I230" s="35">
        <v>0</v>
      </c>
      <c r="J230" s="36">
        <v>0</v>
      </c>
      <c r="K230" s="36">
        <v>0</v>
      </c>
      <c r="L230" s="35">
        <v>0</v>
      </c>
      <c r="M230" s="36">
        <v>0</v>
      </c>
      <c r="N230" s="35">
        <v>0</v>
      </c>
      <c r="O230" s="35">
        <v>0</v>
      </c>
      <c r="P230" s="35">
        <v>0</v>
      </c>
      <c r="Q230" s="36">
        <v>0</v>
      </c>
      <c r="R230" s="35">
        <v>0</v>
      </c>
      <c r="S230" s="35">
        <v>0</v>
      </c>
      <c r="T230" s="36">
        <v>0</v>
      </c>
      <c r="U230" s="35">
        <v>0</v>
      </c>
      <c r="V230" s="36">
        <v>0</v>
      </c>
      <c r="W230" s="36">
        <v>0</v>
      </c>
      <c r="X230" s="35">
        <v>0</v>
      </c>
      <c r="Y230" s="36">
        <v>0</v>
      </c>
      <c r="Z230" s="35">
        <v>0</v>
      </c>
      <c r="AA230" s="36">
        <v>0</v>
      </c>
      <c r="AB230" s="36">
        <v>0</v>
      </c>
      <c r="AC230" s="35">
        <v>0</v>
      </c>
    </row>
    <row r="231" spans="1:29" x14ac:dyDescent="0.3">
      <c r="A231" s="21" t="s">
        <v>331</v>
      </c>
      <c r="B231" s="35">
        <v>0</v>
      </c>
      <c r="C231" s="36">
        <v>0</v>
      </c>
      <c r="D231" s="35">
        <v>0</v>
      </c>
      <c r="E231" s="36">
        <v>0</v>
      </c>
      <c r="F231" s="36">
        <v>0</v>
      </c>
      <c r="G231" s="35">
        <v>0</v>
      </c>
      <c r="H231" s="36">
        <v>0</v>
      </c>
      <c r="I231" s="35">
        <v>0</v>
      </c>
      <c r="J231" s="36">
        <v>0</v>
      </c>
      <c r="K231" s="36">
        <v>0</v>
      </c>
      <c r="L231" s="35">
        <v>0</v>
      </c>
      <c r="M231" s="36">
        <v>0</v>
      </c>
      <c r="N231" s="35">
        <v>0</v>
      </c>
      <c r="O231" s="35">
        <v>0</v>
      </c>
      <c r="P231" s="35">
        <v>0</v>
      </c>
      <c r="Q231" s="36">
        <v>0</v>
      </c>
      <c r="R231" s="35">
        <v>0</v>
      </c>
      <c r="S231" s="35">
        <v>0</v>
      </c>
      <c r="T231" s="36">
        <v>0</v>
      </c>
      <c r="U231" s="35">
        <v>0</v>
      </c>
      <c r="V231" s="36">
        <v>0</v>
      </c>
      <c r="W231" s="36">
        <v>0</v>
      </c>
      <c r="X231" s="35">
        <v>0</v>
      </c>
      <c r="Y231" s="36">
        <v>0</v>
      </c>
      <c r="Z231" s="35">
        <v>0</v>
      </c>
      <c r="AA231" s="36">
        <v>0</v>
      </c>
      <c r="AB231" s="36">
        <v>0</v>
      </c>
      <c r="AC231" s="35">
        <v>0</v>
      </c>
    </row>
    <row r="232" spans="1:29" x14ac:dyDescent="0.3">
      <c r="A232" s="27" t="s">
        <v>332</v>
      </c>
      <c r="B232" s="35">
        <v>0</v>
      </c>
      <c r="C232" s="36">
        <v>0</v>
      </c>
      <c r="D232" s="35">
        <v>0</v>
      </c>
      <c r="E232" s="36">
        <v>0</v>
      </c>
      <c r="F232" s="36">
        <v>0</v>
      </c>
      <c r="G232" s="35">
        <v>0</v>
      </c>
      <c r="H232" s="36">
        <v>0</v>
      </c>
      <c r="I232" s="35">
        <v>0</v>
      </c>
      <c r="J232" s="36">
        <v>0</v>
      </c>
      <c r="K232" s="36">
        <v>0</v>
      </c>
      <c r="L232" s="35">
        <v>0</v>
      </c>
      <c r="M232" s="36">
        <v>0</v>
      </c>
      <c r="N232" s="35">
        <v>0</v>
      </c>
      <c r="O232" s="35">
        <v>0</v>
      </c>
      <c r="P232" s="29">
        <v>1</v>
      </c>
      <c r="Q232" s="36">
        <v>0</v>
      </c>
      <c r="R232" s="35">
        <v>0</v>
      </c>
      <c r="S232" s="35">
        <v>0</v>
      </c>
      <c r="T232" s="36">
        <v>0</v>
      </c>
      <c r="U232" s="35">
        <v>0</v>
      </c>
      <c r="V232" s="36">
        <v>0</v>
      </c>
      <c r="W232" s="36">
        <v>0</v>
      </c>
      <c r="X232" s="35">
        <v>0</v>
      </c>
      <c r="Y232" s="36">
        <v>0</v>
      </c>
      <c r="Z232" s="35">
        <v>0</v>
      </c>
      <c r="AA232" s="36">
        <v>0</v>
      </c>
      <c r="AB232" s="36">
        <v>0</v>
      </c>
      <c r="AC232" s="35">
        <v>0</v>
      </c>
    </row>
    <row r="233" spans="1:29" x14ac:dyDescent="0.3">
      <c r="A233" s="21" t="s">
        <v>333</v>
      </c>
      <c r="B233" s="35">
        <v>0</v>
      </c>
      <c r="C233" s="36">
        <v>0</v>
      </c>
      <c r="D233" s="35">
        <v>0</v>
      </c>
      <c r="E233" s="36">
        <v>0</v>
      </c>
      <c r="F233" s="36">
        <v>0</v>
      </c>
      <c r="G233" s="35">
        <v>0</v>
      </c>
      <c r="H233" s="34">
        <v>1</v>
      </c>
      <c r="I233" s="35">
        <v>0</v>
      </c>
      <c r="J233" s="36">
        <v>0</v>
      </c>
      <c r="K233" s="36">
        <v>0</v>
      </c>
      <c r="L233" s="35">
        <v>0</v>
      </c>
      <c r="M233" s="36">
        <v>0</v>
      </c>
      <c r="N233" s="35">
        <v>0</v>
      </c>
      <c r="O233" s="35">
        <v>0</v>
      </c>
      <c r="P233" s="35">
        <v>0</v>
      </c>
      <c r="Q233" s="36">
        <v>0</v>
      </c>
      <c r="R233" s="35">
        <v>0</v>
      </c>
      <c r="S233" s="35">
        <v>0</v>
      </c>
      <c r="T233" s="36">
        <v>0</v>
      </c>
      <c r="U233" s="35">
        <v>0</v>
      </c>
      <c r="V233" s="36">
        <v>0</v>
      </c>
      <c r="W233" s="36">
        <v>0</v>
      </c>
      <c r="X233" s="35">
        <v>0</v>
      </c>
      <c r="Y233" s="36">
        <v>0</v>
      </c>
      <c r="Z233" s="35">
        <v>0</v>
      </c>
      <c r="AA233" s="36">
        <v>0</v>
      </c>
      <c r="AB233" s="36">
        <v>0</v>
      </c>
      <c r="AC233" s="35">
        <v>0</v>
      </c>
    </row>
    <row r="234" spans="1:29" x14ac:dyDescent="0.3">
      <c r="A234" s="27" t="s">
        <v>334</v>
      </c>
      <c r="B234" s="35">
        <v>0</v>
      </c>
      <c r="C234" s="36">
        <v>0</v>
      </c>
      <c r="D234" s="35">
        <v>0</v>
      </c>
      <c r="E234" s="36">
        <v>0</v>
      </c>
      <c r="F234" s="36">
        <v>0</v>
      </c>
      <c r="G234" s="35">
        <v>0</v>
      </c>
      <c r="H234" s="36">
        <v>0</v>
      </c>
      <c r="I234" s="35">
        <v>0</v>
      </c>
      <c r="J234" s="36">
        <v>0</v>
      </c>
      <c r="K234" s="36">
        <v>0</v>
      </c>
      <c r="L234" s="35">
        <v>0</v>
      </c>
      <c r="M234" s="36">
        <v>0</v>
      </c>
      <c r="N234" s="35">
        <v>0</v>
      </c>
      <c r="O234" s="35">
        <v>0</v>
      </c>
      <c r="P234" s="35">
        <v>0</v>
      </c>
      <c r="Q234" s="34">
        <v>1</v>
      </c>
      <c r="R234" s="35">
        <v>0</v>
      </c>
      <c r="S234" s="35">
        <v>0</v>
      </c>
      <c r="T234" s="36">
        <v>0</v>
      </c>
      <c r="U234" s="35">
        <v>0</v>
      </c>
      <c r="V234" s="36">
        <v>0</v>
      </c>
      <c r="W234" s="36">
        <v>0</v>
      </c>
      <c r="X234" s="35">
        <v>0</v>
      </c>
      <c r="Y234" s="36">
        <v>0</v>
      </c>
      <c r="Z234" s="35">
        <v>0</v>
      </c>
      <c r="AA234" s="36">
        <v>0</v>
      </c>
      <c r="AB234" s="36">
        <v>0</v>
      </c>
      <c r="AC234" s="35">
        <v>0</v>
      </c>
    </row>
    <row r="235" spans="1:29" x14ac:dyDescent="0.3">
      <c r="A235" s="27" t="s">
        <v>335</v>
      </c>
      <c r="B235" s="29">
        <v>1</v>
      </c>
      <c r="C235" s="34">
        <v>2</v>
      </c>
      <c r="D235" s="29">
        <v>6</v>
      </c>
      <c r="E235" s="34">
        <v>13</v>
      </c>
      <c r="F235" s="34">
        <v>11</v>
      </c>
      <c r="G235" s="29">
        <v>8</v>
      </c>
      <c r="H235" s="36">
        <v>0</v>
      </c>
      <c r="I235" s="29">
        <v>10</v>
      </c>
      <c r="J235" s="34">
        <v>23</v>
      </c>
      <c r="K235" s="34">
        <v>7</v>
      </c>
      <c r="L235" s="35">
        <v>0</v>
      </c>
      <c r="M235" s="34">
        <v>7</v>
      </c>
      <c r="N235" s="29">
        <v>3</v>
      </c>
      <c r="O235" s="29">
        <v>3</v>
      </c>
      <c r="P235" s="29">
        <v>5</v>
      </c>
      <c r="Q235" s="34">
        <v>2</v>
      </c>
      <c r="R235" s="29">
        <v>7</v>
      </c>
      <c r="S235" s="29">
        <v>1</v>
      </c>
      <c r="T235" s="36">
        <v>0</v>
      </c>
      <c r="U235" s="29">
        <v>6</v>
      </c>
      <c r="V235" s="36">
        <v>0</v>
      </c>
      <c r="W235" s="34">
        <v>4</v>
      </c>
      <c r="X235" s="35">
        <v>0</v>
      </c>
      <c r="Y235" s="36">
        <v>0</v>
      </c>
      <c r="Z235" s="29">
        <v>2</v>
      </c>
      <c r="AA235" s="34">
        <v>1</v>
      </c>
      <c r="AB235" s="34">
        <v>8</v>
      </c>
      <c r="AC235" s="29">
        <v>10</v>
      </c>
    </row>
    <row r="236" spans="1:29" x14ac:dyDescent="0.3">
      <c r="A236" s="27" t="s">
        <v>336</v>
      </c>
      <c r="B236" s="35">
        <v>0</v>
      </c>
      <c r="C236" s="36">
        <v>0</v>
      </c>
      <c r="D236" s="35">
        <v>0</v>
      </c>
      <c r="E236" s="36">
        <v>0</v>
      </c>
      <c r="F236" s="36">
        <v>0</v>
      </c>
      <c r="G236" s="35">
        <v>0</v>
      </c>
      <c r="H236" s="36">
        <v>0</v>
      </c>
      <c r="I236" s="35">
        <v>0</v>
      </c>
      <c r="J236" s="36">
        <v>0</v>
      </c>
      <c r="K236" s="36">
        <v>0</v>
      </c>
      <c r="L236" s="35">
        <v>0</v>
      </c>
      <c r="M236" s="36">
        <v>0</v>
      </c>
      <c r="N236" s="35">
        <v>0</v>
      </c>
      <c r="O236" s="35">
        <v>0</v>
      </c>
      <c r="P236" s="35">
        <v>0</v>
      </c>
      <c r="Q236" s="36">
        <v>0</v>
      </c>
      <c r="R236" s="35">
        <v>0</v>
      </c>
      <c r="S236" s="35">
        <v>0</v>
      </c>
      <c r="T236" s="36">
        <v>0</v>
      </c>
      <c r="U236" s="35">
        <v>0</v>
      </c>
      <c r="V236" s="36">
        <v>0</v>
      </c>
      <c r="W236" s="36">
        <v>0</v>
      </c>
      <c r="X236" s="35">
        <v>0</v>
      </c>
      <c r="Y236" s="36">
        <v>0</v>
      </c>
      <c r="Z236" s="35">
        <v>0</v>
      </c>
      <c r="AA236" s="36">
        <v>0</v>
      </c>
      <c r="AB236" s="36">
        <v>0</v>
      </c>
      <c r="AC236" s="35">
        <v>0</v>
      </c>
    </row>
    <row r="237" spans="1:29" x14ac:dyDescent="0.3">
      <c r="A237" s="27" t="s">
        <v>337</v>
      </c>
      <c r="B237" s="35">
        <v>0</v>
      </c>
      <c r="C237" s="36">
        <v>0</v>
      </c>
      <c r="D237" s="35">
        <v>0</v>
      </c>
      <c r="E237" s="36">
        <v>0</v>
      </c>
      <c r="F237" s="36">
        <v>0</v>
      </c>
      <c r="G237" s="35">
        <v>0</v>
      </c>
      <c r="H237" s="36">
        <v>0</v>
      </c>
      <c r="I237" s="35">
        <v>0</v>
      </c>
      <c r="J237" s="36">
        <v>0</v>
      </c>
      <c r="K237" s="36">
        <v>0</v>
      </c>
      <c r="L237" s="35">
        <v>0</v>
      </c>
      <c r="M237" s="36">
        <v>0</v>
      </c>
      <c r="N237" s="35">
        <v>0</v>
      </c>
      <c r="O237" s="35">
        <v>0</v>
      </c>
      <c r="P237" s="35">
        <v>0</v>
      </c>
      <c r="Q237" s="36">
        <v>0</v>
      </c>
      <c r="R237" s="35">
        <v>0</v>
      </c>
      <c r="S237" s="35">
        <v>0</v>
      </c>
      <c r="T237" s="36">
        <v>0</v>
      </c>
      <c r="U237" s="35">
        <v>0</v>
      </c>
      <c r="V237" s="36">
        <v>0</v>
      </c>
      <c r="W237" s="36">
        <v>0</v>
      </c>
      <c r="X237" s="35">
        <v>0</v>
      </c>
      <c r="Y237" s="36">
        <v>0</v>
      </c>
      <c r="Z237" s="35">
        <v>0</v>
      </c>
      <c r="AA237" s="36">
        <v>0</v>
      </c>
      <c r="AB237" s="36">
        <v>0</v>
      </c>
      <c r="AC237" s="35">
        <v>0</v>
      </c>
    </row>
    <row r="238" spans="1:29" x14ac:dyDescent="0.3">
      <c r="A238" s="21" t="s">
        <v>338</v>
      </c>
      <c r="B238" s="35">
        <v>0</v>
      </c>
      <c r="C238" s="36">
        <v>0</v>
      </c>
      <c r="D238" s="35">
        <v>0</v>
      </c>
      <c r="E238" s="36">
        <v>0</v>
      </c>
      <c r="F238" s="36">
        <v>0</v>
      </c>
      <c r="G238" s="35">
        <v>0</v>
      </c>
      <c r="H238" s="36">
        <v>0</v>
      </c>
      <c r="I238" s="35">
        <v>0</v>
      </c>
      <c r="J238" s="36">
        <v>0</v>
      </c>
      <c r="K238" s="36">
        <v>0</v>
      </c>
      <c r="L238" s="35">
        <v>0</v>
      </c>
      <c r="M238" s="36">
        <v>0</v>
      </c>
      <c r="N238" s="35">
        <v>0</v>
      </c>
      <c r="O238" s="35">
        <v>0</v>
      </c>
      <c r="P238" s="35">
        <v>0</v>
      </c>
      <c r="Q238" s="36">
        <v>0</v>
      </c>
      <c r="R238" s="35">
        <v>0</v>
      </c>
      <c r="S238" s="35">
        <v>0</v>
      </c>
      <c r="T238" s="36">
        <v>0</v>
      </c>
      <c r="U238" s="35">
        <v>0</v>
      </c>
      <c r="V238" s="36">
        <v>0</v>
      </c>
      <c r="W238" s="36">
        <v>0</v>
      </c>
      <c r="X238" s="35">
        <v>0</v>
      </c>
      <c r="Y238" s="36">
        <v>0</v>
      </c>
      <c r="Z238" s="35">
        <v>0</v>
      </c>
      <c r="AA238" s="36">
        <v>0</v>
      </c>
      <c r="AB238" s="36">
        <v>0</v>
      </c>
      <c r="AC238" s="35">
        <v>0</v>
      </c>
    </row>
    <row r="239" spans="1:29" x14ac:dyDescent="0.3">
      <c r="A239" s="27" t="s">
        <v>339</v>
      </c>
      <c r="B239" s="35">
        <v>0</v>
      </c>
      <c r="C239" s="36">
        <v>0</v>
      </c>
      <c r="D239" s="35">
        <v>0</v>
      </c>
      <c r="E239" s="36">
        <v>0</v>
      </c>
      <c r="F239" s="36">
        <v>0</v>
      </c>
      <c r="G239" s="35">
        <v>0</v>
      </c>
      <c r="H239" s="36">
        <v>0</v>
      </c>
      <c r="I239" s="35">
        <v>0</v>
      </c>
      <c r="J239" s="36">
        <v>0</v>
      </c>
      <c r="K239" s="36">
        <v>0</v>
      </c>
      <c r="L239" s="35">
        <v>0</v>
      </c>
      <c r="M239" s="36">
        <v>0</v>
      </c>
      <c r="N239" s="35">
        <v>0</v>
      </c>
      <c r="O239" s="35">
        <v>0</v>
      </c>
      <c r="P239" s="35">
        <v>0</v>
      </c>
      <c r="Q239" s="36">
        <v>0</v>
      </c>
      <c r="R239" s="35">
        <v>0</v>
      </c>
      <c r="S239" s="35">
        <v>0</v>
      </c>
      <c r="T239" s="36">
        <v>0</v>
      </c>
      <c r="U239" s="35">
        <v>0</v>
      </c>
      <c r="V239" s="36">
        <v>0</v>
      </c>
      <c r="W239" s="36">
        <v>0</v>
      </c>
      <c r="X239" s="35">
        <v>0</v>
      </c>
      <c r="Y239" s="36">
        <v>0</v>
      </c>
      <c r="Z239" s="35">
        <v>0</v>
      </c>
      <c r="AA239" s="36">
        <v>0</v>
      </c>
      <c r="AB239" s="36">
        <v>0</v>
      </c>
      <c r="AC239" s="35">
        <v>0</v>
      </c>
    </row>
    <row r="240" spans="1:29" x14ac:dyDescent="0.3">
      <c r="A240" s="21" t="s">
        <v>340</v>
      </c>
      <c r="B240" s="35">
        <v>0</v>
      </c>
      <c r="C240" s="36">
        <v>0</v>
      </c>
      <c r="D240" s="35">
        <v>0</v>
      </c>
      <c r="E240" s="36">
        <v>0</v>
      </c>
      <c r="F240" s="36">
        <v>0</v>
      </c>
      <c r="G240" s="35">
        <v>0</v>
      </c>
      <c r="H240" s="36">
        <v>0</v>
      </c>
      <c r="I240" s="35">
        <v>0</v>
      </c>
      <c r="J240" s="36">
        <v>0</v>
      </c>
      <c r="K240" s="36">
        <v>0</v>
      </c>
      <c r="L240" s="35">
        <v>0</v>
      </c>
      <c r="M240" s="36">
        <v>0</v>
      </c>
      <c r="N240" s="35">
        <v>0</v>
      </c>
      <c r="O240" s="35">
        <v>0</v>
      </c>
      <c r="P240" s="35">
        <v>0</v>
      </c>
      <c r="Q240" s="36">
        <v>0</v>
      </c>
      <c r="R240" s="35">
        <v>0</v>
      </c>
      <c r="S240" s="35">
        <v>0</v>
      </c>
      <c r="T240" s="36">
        <v>0</v>
      </c>
      <c r="U240" s="35">
        <v>0</v>
      </c>
      <c r="V240" s="36">
        <v>0</v>
      </c>
      <c r="W240" s="36">
        <v>0</v>
      </c>
      <c r="X240" s="35">
        <v>0</v>
      </c>
      <c r="Y240" s="36">
        <v>0</v>
      </c>
      <c r="Z240" s="35">
        <v>0</v>
      </c>
      <c r="AA240" s="36">
        <v>0</v>
      </c>
      <c r="AB240" s="36">
        <v>0</v>
      </c>
      <c r="AC240" s="35">
        <v>0</v>
      </c>
    </row>
    <row r="241" spans="1:29" x14ac:dyDescent="0.3">
      <c r="A241" s="27" t="s">
        <v>341</v>
      </c>
      <c r="B241" s="35">
        <v>0</v>
      </c>
      <c r="C241" s="36">
        <v>0</v>
      </c>
      <c r="D241" s="35">
        <v>0</v>
      </c>
      <c r="E241" s="36">
        <v>0</v>
      </c>
      <c r="F241" s="36">
        <v>0</v>
      </c>
      <c r="G241" s="35">
        <v>0</v>
      </c>
      <c r="H241" s="36">
        <v>0</v>
      </c>
      <c r="I241" s="35">
        <v>0</v>
      </c>
      <c r="J241" s="36">
        <v>0</v>
      </c>
      <c r="K241" s="36">
        <v>0</v>
      </c>
      <c r="L241" s="35">
        <v>0</v>
      </c>
      <c r="M241" s="36">
        <v>0</v>
      </c>
      <c r="N241" s="35">
        <v>0</v>
      </c>
      <c r="O241" s="35">
        <v>0</v>
      </c>
      <c r="P241" s="35">
        <v>0</v>
      </c>
      <c r="Q241" s="36">
        <v>0</v>
      </c>
      <c r="R241" s="35">
        <v>0</v>
      </c>
      <c r="S241" s="35">
        <v>0</v>
      </c>
      <c r="T241" s="36">
        <v>0</v>
      </c>
      <c r="U241" s="35">
        <v>0</v>
      </c>
      <c r="V241" s="36">
        <v>0</v>
      </c>
      <c r="W241" s="36">
        <v>0</v>
      </c>
      <c r="X241" s="35">
        <v>0</v>
      </c>
      <c r="Y241" s="36">
        <v>0</v>
      </c>
      <c r="Z241" s="35">
        <v>0</v>
      </c>
      <c r="AA241" s="36">
        <v>0</v>
      </c>
      <c r="AB241" s="36">
        <v>0</v>
      </c>
      <c r="AC241" s="35">
        <v>0</v>
      </c>
    </row>
    <row r="242" spans="1:29" x14ac:dyDescent="0.3">
      <c r="A242" s="21" t="s">
        <v>342</v>
      </c>
      <c r="B242" s="35">
        <v>0</v>
      </c>
      <c r="C242" s="34">
        <v>1</v>
      </c>
      <c r="D242" s="35">
        <v>0</v>
      </c>
      <c r="E242" s="36">
        <v>0</v>
      </c>
      <c r="F242" s="36">
        <v>0</v>
      </c>
      <c r="G242" s="35">
        <v>0</v>
      </c>
      <c r="H242" s="36">
        <v>0</v>
      </c>
      <c r="I242" s="29">
        <v>7</v>
      </c>
      <c r="J242" s="34">
        <v>17</v>
      </c>
      <c r="K242" s="36">
        <v>0</v>
      </c>
      <c r="L242" s="29">
        <v>1</v>
      </c>
      <c r="M242" s="36">
        <v>0</v>
      </c>
      <c r="N242" s="35">
        <v>0</v>
      </c>
      <c r="O242" s="35">
        <v>0</v>
      </c>
      <c r="P242" s="35">
        <v>0</v>
      </c>
      <c r="Q242" s="36">
        <v>0</v>
      </c>
      <c r="R242" s="29">
        <v>1</v>
      </c>
      <c r="S242" s="35">
        <v>0</v>
      </c>
      <c r="T242" s="36">
        <v>0</v>
      </c>
      <c r="U242" s="35">
        <v>0</v>
      </c>
      <c r="V242" s="36">
        <v>0</v>
      </c>
      <c r="W242" s="36">
        <v>0</v>
      </c>
      <c r="X242" s="35">
        <v>0</v>
      </c>
      <c r="Y242" s="36">
        <v>0</v>
      </c>
      <c r="Z242" s="35">
        <v>0</v>
      </c>
      <c r="AA242" s="36">
        <v>0</v>
      </c>
      <c r="AB242" s="36">
        <v>0</v>
      </c>
      <c r="AC242" s="35">
        <v>0</v>
      </c>
    </row>
    <row r="243" spans="1:29" x14ac:dyDescent="0.3">
      <c r="A243" s="27" t="s">
        <v>343</v>
      </c>
      <c r="B243" s="29">
        <v>4</v>
      </c>
      <c r="C243" s="34">
        <v>16</v>
      </c>
      <c r="D243" s="29">
        <v>27</v>
      </c>
      <c r="E243" s="34">
        <v>14</v>
      </c>
      <c r="F243" s="34">
        <v>1</v>
      </c>
      <c r="G243" s="35">
        <v>0</v>
      </c>
      <c r="H243" s="34">
        <v>15</v>
      </c>
      <c r="I243" s="29">
        <v>49</v>
      </c>
      <c r="J243" s="34">
        <v>84</v>
      </c>
      <c r="K243" s="34">
        <v>1</v>
      </c>
      <c r="L243" s="29">
        <v>7</v>
      </c>
      <c r="M243" s="34">
        <v>3</v>
      </c>
      <c r="N243" s="29">
        <v>3</v>
      </c>
      <c r="O243" s="35">
        <v>0</v>
      </c>
      <c r="P243" s="35">
        <v>0</v>
      </c>
      <c r="Q243" s="34">
        <v>3</v>
      </c>
      <c r="R243" s="29">
        <v>1</v>
      </c>
      <c r="S243" s="35">
        <v>0</v>
      </c>
      <c r="T243" s="34">
        <v>1</v>
      </c>
      <c r="U243" s="29">
        <v>8</v>
      </c>
      <c r="V243" s="36">
        <v>0</v>
      </c>
      <c r="W243" s="36">
        <v>0</v>
      </c>
      <c r="X243" s="29">
        <v>14</v>
      </c>
      <c r="Y243" s="34">
        <v>7</v>
      </c>
      <c r="Z243" s="35">
        <v>0</v>
      </c>
      <c r="AA243" s="34">
        <v>4</v>
      </c>
      <c r="AB243" s="36">
        <v>0</v>
      </c>
      <c r="AC243" s="29">
        <v>13</v>
      </c>
    </row>
    <row r="244" spans="1:29" x14ac:dyDescent="0.3">
      <c r="A244" s="21" t="s">
        <v>344</v>
      </c>
      <c r="B244" s="35">
        <v>0</v>
      </c>
      <c r="C244" s="36">
        <v>0</v>
      </c>
      <c r="D244" s="35">
        <v>0</v>
      </c>
      <c r="E244" s="36">
        <v>0</v>
      </c>
      <c r="F244" s="36">
        <v>0</v>
      </c>
      <c r="G244" s="35">
        <v>0</v>
      </c>
      <c r="H244" s="36">
        <v>0</v>
      </c>
      <c r="I244" s="35">
        <v>0</v>
      </c>
      <c r="J244" s="36">
        <v>0</v>
      </c>
      <c r="K244" s="36">
        <v>0</v>
      </c>
      <c r="L244" s="35">
        <v>0</v>
      </c>
      <c r="M244" s="36">
        <v>0</v>
      </c>
      <c r="N244" s="35">
        <v>0</v>
      </c>
      <c r="O244" s="35">
        <v>0</v>
      </c>
      <c r="P244" s="35">
        <v>0</v>
      </c>
      <c r="Q244" s="36">
        <v>0</v>
      </c>
      <c r="R244" s="35">
        <v>0</v>
      </c>
      <c r="S244" s="35">
        <v>0</v>
      </c>
      <c r="T244" s="36">
        <v>0</v>
      </c>
      <c r="U244" s="35">
        <v>0</v>
      </c>
      <c r="V244" s="34">
        <v>1</v>
      </c>
      <c r="W244" s="36">
        <v>0</v>
      </c>
      <c r="X244" s="35">
        <v>0</v>
      </c>
      <c r="Y244" s="36">
        <v>0</v>
      </c>
      <c r="Z244" s="35">
        <v>0</v>
      </c>
      <c r="AA244" s="36">
        <v>0</v>
      </c>
      <c r="AB244" s="34">
        <v>1</v>
      </c>
      <c r="AC244" s="35">
        <v>0</v>
      </c>
    </row>
    <row r="245" spans="1:29" x14ac:dyDescent="0.3">
      <c r="A245" s="21" t="s">
        <v>345</v>
      </c>
      <c r="B245" s="35">
        <v>0</v>
      </c>
      <c r="C245" s="36">
        <v>0</v>
      </c>
      <c r="D245" s="35">
        <v>0</v>
      </c>
      <c r="E245" s="36">
        <v>0</v>
      </c>
      <c r="F245" s="34">
        <v>1</v>
      </c>
      <c r="G245" s="35">
        <v>0</v>
      </c>
      <c r="H245" s="36">
        <v>0</v>
      </c>
      <c r="I245" s="35">
        <v>0</v>
      </c>
      <c r="J245" s="36">
        <v>0</v>
      </c>
      <c r="K245" s="36">
        <v>0</v>
      </c>
      <c r="L245" s="35">
        <v>0</v>
      </c>
      <c r="M245" s="36">
        <v>0</v>
      </c>
      <c r="N245" s="35">
        <v>0</v>
      </c>
      <c r="O245" s="35">
        <v>0</v>
      </c>
      <c r="P245" s="35">
        <v>0</v>
      </c>
      <c r="Q245" s="36">
        <v>0</v>
      </c>
      <c r="R245" s="35">
        <v>0</v>
      </c>
      <c r="S245" s="35">
        <v>0</v>
      </c>
      <c r="T245" s="36">
        <v>0</v>
      </c>
      <c r="U245" s="35">
        <v>0</v>
      </c>
      <c r="V245" s="36">
        <v>0</v>
      </c>
      <c r="W245" s="36">
        <v>0</v>
      </c>
      <c r="X245" s="35">
        <v>0</v>
      </c>
      <c r="Y245" s="36">
        <v>0</v>
      </c>
      <c r="Z245" s="35">
        <v>0</v>
      </c>
      <c r="AA245" s="36">
        <v>0</v>
      </c>
      <c r="AB245" s="36">
        <v>0</v>
      </c>
      <c r="AC245" s="35">
        <v>0</v>
      </c>
    </row>
    <row r="246" spans="1:29" x14ac:dyDescent="0.3">
      <c r="A246" s="27" t="s">
        <v>346</v>
      </c>
      <c r="B246" s="35">
        <v>0</v>
      </c>
      <c r="C246" s="36">
        <v>0</v>
      </c>
      <c r="D246" s="35">
        <v>0</v>
      </c>
      <c r="E246" s="36">
        <v>0</v>
      </c>
      <c r="F246" s="36">
        <v>0</v>
      </c>
      <c r="G246" s="35">
        <v>0</v>
      </c>
      <c r="H246" s="36">
        <v>0</v>
      </c>
      <c r="I246" s="35">
        <v>0</v>
      </c>
      <c r="J246" s="36">
        <v>0</v>
      </c>
      <c r="K246" s="36">
        <v>0</v>
      </c>
      <c r="L246" s="35">
        <v>0</v>
      </c>
      <c r="M246" s="36">
        <v>0</v>
      </c>
      <c r="N246" s="35">
        <v>0</v>
      </c>
      <c r="O246" s="35">
        <v>0</v>
      </c>
      <c r="P246" s="35">
        <v>0</v>
      </c>
      <c r="Q246" s="36">
        <v>0</v>
      </c>
      <c r="R246" s="35">
        <v>0</v>
      </c>
      <c r="S246" s="35">
        <v>0</v>
      </c>
      <c r="T246" s="36">
        <v>0</v>
      </c>
      <c r="U246" s="29">
        <v>3</v>
      </c>
      <c r="V246" s="36">
        <v>0</v>
      </c>
      <c r="W246" s="36">
        <v>0</v>
      </c>
      <c r="X246" s="35">
        <v>0</v>
      </c>
      <c r="Y246" s="36">
        <v>0</v>
      </c>
      <c r="Z246" s="29">
        <v>3</v>
      </c>
      <c r="AA246" s="36">
        <v>0</v>
      </c>
      <c r="AB246" s="36">
        <v>0</v>
      </c>
      <c r="AC246" s="29">
        <v>3</v>
      </c>
    </row>
    <row r="247" spans="1:29" x14ac:dyDescent="0.3">
      <c r="A247" s="27" t="s">
        <v>347</v>
      </c>
      <c r="B247" s="35">
        <v>0</v>
      </c>
      <c r="C247" s="36">
        <v>0</v>
      </c>
      <c r="D247" s="35">
        <v>0</v>
      </c>
      <c r="E247" s="36">
        <v>0</v>
      </c>
      <c r="F247" s="34">
        <v>1</v>
      </c>
      <c r="G247" s="35">
        <v>0</v>
      </c>
      <c r="H247" s="36">
        <v>0</v>
      </c>
      <c r="I247" s="35">
        <v>0</v>
      </c>
      <c r="J247" s="36">
        <v>0</v>
      </c>
      <c r="K247" s="36">
        <v>0</v>
      </c>
      <c r="L247" s="35">
        <v>0</v>
      </c>
      <c r="M247" s="36">
        <v>0</v>
      </c>
      <c r="N247" s="35">
        <v>0</v>
      </c>
      <c r="O247" s="35">
        <v>0</v>
      </c>
      <c r="P247" s="35">
        <v>0</v>
      </c>
      <c r="Q247" s="36">
        <v>0</v>
      </c>
      <c r="R247" s="35">
        <v>0</v>
      </c>
      <c r="S247" s="35">
        <v>0</v>
      </c>
      <c r="T247" s="36">
        <v>0</v>
      </c>
      <c r="U247" s="35">
        <v>0</v>
      </c>
      <c r="V247" s="36">
        <v>0</v>
      </c>
      <c r="W247" s="36">
        <v>0</v>
      </c>
      <c r="X247" s="35">
        <v>0</v>
      </c>
      <c r="Y247" s="36">
        <v>0</v>
      </c>
      <c r="Z247" s="35">
        <v>0</v>
      </c>
      <c r="AA247" s="36">
        <v>0</v>
      </c>
      <c r="AB247" s="36">
        <v>0</v>
      </c>
      <c r="AC247" s="35">
        <v>0</v>
      </c>
    </row>
    <row r="248" spans="1:29" x14ac:dyDescent="0.3">
      <c r="A248" s="27" t="s">
        <v>348</v>
      </c>
      <c r="B248" s="35">
        <v>0</v>
      </c>
      <c r="C248" s="36">
        <v>0</v>
      </c>
      <c r="D248" s="35">
        <v>0</v>
      </c>
      <c r="E248" s="36">
        <v>0</v>
      </c>
      <c r="F248" s="36">
        <v>0</v>
      </c>
      <c r="G248" s="35">
        <v>0</v>
      </c>
      <c r="H248" s="36">
        <v>0</v>
      </c>
      <c r="I248" s="35">
        <v>0</v>
      </c>
      <c r="J248" s="36">
        <v>0</v>
      </c>
      <c r="K248" s="36">
        <v>0</v>
      </c>
      <c r="L248" s="35">
        <v>0</v>
      </c>
      <c r="M248" s="36">
        <v>0</v>
      </c>
      <c r="N248" s="35">
        <v>0</v>
      </c>
      <c r="O248" s="35">
        <v>0</v>
      </c>
      <c r="P248" s="35">
        <v>0</v>
      </c>
      <c r="Q248" s="36">
        <v>0</v>
      </c>
      <c r="R248" s="35">
        <v>0</v>
      </c>
      <c r="S248" s="35">
        <v>0</v>
      </c>
      <c r="T248" s="36">
        <v>0</v>
      </c>
      <c r="U248" s="29">
        <v>1</v>
      </c>
      <c r="V248" s="36">
        <v>0</v>
      </c>
      <c r="W248" s="36">
        <v>0</v>
      </c>
      <c r="X248" s="35">
        <v>0</v>
      </c>
      <c r="Y248" s="36">
        <v>0</v>
      </c>
      <c r="Z248" s="29">
        <v>1</v>
      </c>
      <c r="AA248" s="36">
        <v>0</v>
      </c>
      <c r="AB248" s="36">
        <v>0</v>
      </c>
      <c r="AC248" s="35">
        <v>0</v>
      </c>
    </row>
    <row r="249" spans="1:29" x14ac:dyDescent="0.3">
      <c r="A249" s="27" t="s">
        <v>349</v>
      </c>
      <c r="B249" s="35">
        <v>0</v>
      </c>
      <c r="C249" s="36">
        <v>0</v>
      </c>
      <c r="D249" s="35">
        <v>0</v>
      </c>
      <c r="E249" s="36">
        <v>0</v>
      </c>
      <c r="F249" s="36">
        <v>0</v>
      </c>
      <c r="G249" s="35">
        <v>0</v>
      </c>
      <c r="H249" s="36">
        <v>0</v>
      </c>
      <c r="I249" s="35">
        <v>0</v>
      </c>
      <c r="J249" s="36">
        <v>0</v>
      </c>
      <c r="K249" s="36">
        <v>0</v>
      </c>
      <c r="L249" s="35">
        <v>0</v>
      </c>
      <c r="M249" s="36">
        <v>0</v>
      </c>
      <c r="N249" s="35">
        <v>0</v>
      </c>
      <c r="O249" s="35">
        <v>0</v>
      </c>
      <c r="P249" s="35">
        <v>0</v>
      </c>
      <c r="Q249" s="36">
        <v>0</v>
      </c>
      <c r="R249" s="35">
        <v>0</v>
      </c>
      <c r="S249" s="35">
        <v>0</v>
      </c>
      <c r="T249" s="36">
        <v>0</v>
      </c>
      <c r="U249" s="35">
        <v>0</v>
      </c>
      <c r="V249" s="36">
        <v>0</v>
      </c>
      <c r="W249" s="36">
        <v>0</v>
      </c>
      <c r="X249" s="29">
        <v>1</v>
      </c>
      <c r="Y249" s="36">
        <v>0</v>
      </c>
      <c r="Z249" s="35">
        <v>0</v>
      </c>
      <c r="AA249" s="36">
        <v>0</v>
      </c>
      <c r="AB249" s="36">
        <v>0</v>
      </c>
      <c r="AC249" s="35">
        <v>0</v>
      </c>
    </row>
    <row r="250" spans="1:29" x14ac:dyDescent="0.3">
      <c r="A250" s="27" t="s">
        <v>350</v>
      </c>
      <c r="B250" s="35">
        <v>0</v>
      </c>
      <c r="C250" s="36">
        <v>0</v>
      </c>
      <c r="D250" s="35">
        <v>0</v>
      </c>
      <c r="E250" s="36">
        <v>0</v>
      </c>
      <c r="F250" s="36">
        <v>0</v>
      </c>
      <c r="G250" s="35">
        <v>0</v>
      </c>
      <c r="H250" s="36">
        <v>0</v>
      </c>
      <c r="I250" s="35">
        <v>0</v>
      </c>
      <c r="J250" s="36">
        <v>0</v>
      </c>
      <c r="K250" s="36">
        <v>0</v>
      </c>
      <c r="L250" s="35">
        <v>0</v>
      </c>
      <c r="M250" s="36">
        <v>0</v>
      </c>
      <c r="N250" s="35">
        <v>0</v>
      </c>
      <c r="O250" s="35">
        <v>0</v>
      </c>
      <c r="P250" s="35">
        <v>0</v>
      </c>
      <c r="Q250" s="36">
        <v>0</v>
      </c>
      <c r="R250" s="35">
        <v>0</v>
      </c>
      <c r="S250" s="35">
        <v>0</v>
      </c>
      <c r="T250" s="36">
        <v>0</v>
      </c>
      <c r="U250" s="35">
        <v>0</v>
      </c>
      <c r="V250" s="36">
        <v>0</v>
      </c>
      <c r="W250" s="36">
        <v>0</v>
      </c>
      <c r="X250" s="35">
        <v>0</v>
      </c>
      <c r="Y250" s="36">
        <v>0</v>
      </c>
      <c r="Z250" s="35">
        <v>0</v>
      </c>
      <c r="AA250" s="36">
        <v>0</v>
      </c>
      <c r="AB250" s="36">
        <v>0</v>
      </c>
      <c r="AC250" s="35">
        <v>0</v>
      </c>
    </row>
    <row r="251" spans="1:29" x14ac:dyDescent="0.3">
      <c r="A251" s="27" t="s">
        <v>351</v>
      </c>
      <c r="B251" s="35">
        <v>0</v>
      </c>
      <c r="C251" s="36">
        <v>0</v>
      </c>
      <c r="D251" s="35">
        <v>0</v>
      </c>
      <c r="E251" s="36">
        <v>0</v>
      </c>
      <c r="F251" s="36">
        <v>0</v>
      </c>
      <c r="G251" s="35">
        <v>0</v>
      </c>
      <c r="H251" s="36">
        <v>0</v>
      </c>
      <c r="I251" s="35">
        <v>0</v>
      </c>
      <c r="J251" s="36">
        <v>0</v>
      </c>
      <c r="K251" s="36">
        <v>0</v>
      </c>
      <c r="L251" s="35">
        <v>0</v>
      </c>
      <c r="M251" s="36">
        <v>0</v>
      </c>
      <c r="N251" s="35">
        <v>0</v>
      </c>
      <c r="O251" s="35">
        <v>0</v>
      </c>
      <c r="P251" s="35">
        <v>0</v>
      </c>
      <c r="Q251" s="36">
        <v>0</v>
      </c>
      <c r="R251" s="35">
        <v>0</v>
      </c>
      <c r="S251" s="35">
        <v>0</v>
      </c>
      <c r="T251" s="36">
        <v>0</v>
      </c>
      <c r="U251" s="35">
        <v>0</v>
      </c>
      <c r="V251" s="36">
        <v>0</v>
      </c>
      <c r="W251" s="36">
        <v>0</v>
      </c>
      <c r="X251" s="35">
        <v>0</v>
      </c>
      <c r="Y251" s="36">
        <v>0</v>
      </c>
      <c r="Z251" s="35">
        <v>0</v>
      </c>
      <c r="AA251" s="36">
        <v>0</v>
      </c>
      <c r="AB251" s="36">
        <v>0</v>
      </c>
      <c r="AC251" s="35">
        <v>0</v>
      </c>
    </row>
    <row r="252" spans="1:29" x14ac:dyDescent="0.3">
      <c r="A252" s="27" t="s">
        <v>352</v>
      </c>
      <c r="B252" s="35">
        <v>0</v>
      </c>
      <c r="C252" s="36">
        <v>0</v>
      </c>
      <c r="D252" s="29">
        <v>2</v>
      </c>
      <c r="E252" s="36">
        <v>0</v>
      </c>
      <c r="F252" s="36">
        <v>0</v>
      </c>
      <c r="G252" s="35">
        <v>0</v>
      </c>
      <c r="H252" s="36">
        <v>0</v>
      </c>
      <c r="I252" s="35">
        <v>0</v>
      </c>
      <c r="J252" s="36">
        <v>0</v>
      </c>
      <c r="K252" s="36">
        <v>0</v>
      </c>
      <c r="L252" s="35">
        <v>0</v>
      </c>
      <c r="M252" s="36">
        <v>0</v>
      </c>
      <c r="N252" s="35">
        <v>0</v>
      </c>
      <c r="O252" s="35">
        <v>0</v>
      </c>
      <c r="P252" s="29">
        <v>1</v>
      </c>
      <c r="Q252" s="36">
        <v>0</v>
      </c>
      <c r="R252" s="35">
        <v>0</v>
      </c>
      <c r="S252" s="35">
        <v>0</v>
      </c>
      <c r="T252" s="36">
        <v>0</v>
      </c>
      <c r="U252" s="35">
        <v>0</v>
      </c>
      <c r="V252" s="36">
        <v>0</v>
      </c>
      <c r="W252" s="36">
        <v>0</v>
      </c>
      <c r="X252" s="35">
        <v>0</v>
      </c>
      <c r="Y252" s="36">
        <v>0</v>
      </c>
      <c r="Z252" s="35">
        <v>0</v>
      </c>
      <c r="AA252" s="36">
        <v>0</v>
      </c>
      <c r="AB252" s="36">
        <v>0</v>
      </c>
      <c r="AC252" s="35">
        <v>0</v>
      </c>
    </row>
    <row r="253" spans="1:29" x14ac:dyDescent="0.3">
      <c r="A253" s="21" t="s">
        <v>119</v>
      </c>
      <c r="B253" s="35">
        <v>0</v>
      </c>
      <c r="C253" s="36">
        <v>0</v>
      </c>
      <c r="D253" s="35">
        <v>0</v>
      </c>
      <c r="E253" s="36">
        <v>0</v>
      </c>
      <c r="F253" s="36">
        <v>0</v>
      </c>
      <c r="G253" s="35">
        <v>0</v>
      </c>
      <c r="H253" s="36">
        <v>0</v>
      </c>
      <c r="I253" s="35">
        <v>0</v>
      </c>
      <c r="J253" s="36">
        <v>0</v>
      </c>
      <c r="K253" s="36">
        <v>0</v>
      </c>
      <c r="L253" s="35">
        <v>0</v>
      </c>
      <c r="M253" s="36">
        <v>0</v>
      </c>
      <c r="N253" s="35">
        <v>0</v>
      </c>
      <c r="O253" s="35">
        <v>0</v>
      </c>
      <c r="P253" s="35">
        <v>0</v>
      </c>
      <c r="Q253" s="36">
        <v>0</v>
      </c>
      <c r="R253" s="35">
        <v>0</v>
      </c>
      <c r="S253" s="35">
        <v>0</v>
      </c>
      <c r="T253" s="36">
        <v>0</v>
      </c>
      <c r="U253" s="35">
        <v>0</v>
      </c>
      <c r="V253" s="36">
        <v>0</v>
      </c>
      <c r="W253" s="36">
        <v>0</v>
      </c>
      <c r="X253" s="35">
        <v>0</v>
      </c>
      <c r="Y253" s="36">
        <v>0</v>
      </c>
      <c r="Z253" s="35">
        <v>0</v>
      </c>
      <c r="AA253" s="36">
        <v>0</v>
      </c>
      <c r="AB253" s="36">
        <v>0</v>
      </c>
      <c r="AC253" s="35">
        <v>0</v>
      </c>
    </row>
    <row r="254" spans="1:29" x14ac:dyDescent="0.3">
      <c r="A254" s="21" t="s">
        <v>353</v>
      </c>
      <c r="B254" s="35">
        <v>0</v>
      </c>
      <c r="C254" s="36">
        <v>0</v>
      </c>
      <c r="D254" s="35">
        <v>0</v>
      </c>
      <c r="E254" s="36">
        <v>0</v>
      </c>
      <c r="F254" s="36">
        <v>0</v>
      </c>
      <c r="G254" s="35">
        <v>0</v>
      </c>
      <c r="H254" s="36">
        <v>0</v>
      </c>
      <c r="I254" s="35">
        <v>0</v>
      </c>
      <c r="J254" s="36">
        <v>0</v>
      </c>
      <c r="K254" s="36">
        <v>0</v>
      </c>
      <c r="L254" s="35">
        <v>0</v>
      </c>
      <c r="M254" s="36">
        <v>0</v>
      </c>
      <c r="N254" s="35">
        <v>0</v>
      </c>
      <c r="O254" s="35">
        <v>0</v>
      </c>
      <c r="P254" s="35">
        <v>0</v>
      </c>
      <c r="Q254" s="36">
        <v>0</v>
      </c>
      <c r="R254" s="35">
        <v>0</v>
      </c>
      <c r="S254" s="35">
        <v>0</v>
      </c>
      <c r="T254" s="36">
        <v>0</v>
      </c>
      <c r="U254" s="35">
        <v>0</v>
      </c>
      <c r="V254" s="36">
        <v>0</v>
      </c>
      <c r="W254" s="36">
        <v>0</v>
      </c>
      <c r="X254" s="35">
        <v>0</v>
      </c>
      <c r="Y254" s="36">
        <v>0</v>
      </c>
      <c r="Z254" s="35">
        <v>0</v>
      </c>
      <c r="AA254" s="36">
        <v>0</v>
      </c>
      <c r="AB254" s="36">
        <v>0</v>
      </c>
      <c r="AC254" s="35">
        <v>0</v>
      </c>
    </row>
    <row r="255" spans="1:29" x14ac:dyDescent="0.3">
      <c r="A255" s="21" t="s">
        <v>354</v>
      </c>
      <c r="B255" s="35">
        <v>0</v>
      </c>
      <c r="C255" s="36">
        <v>0</v>
      </c>
      <c r="D255" s="35">
        <v>0</v>
      </c>
      <c r="E255" s="36">
        <v>0</v>
      </c>
      <c r="F255" s="36">
        <v>0</v>
      </c>
      <c r="G255" s="35">
        <v>0</v>
      </c>
      <c r="H255" s="36">
        <v>0</v>
      </c>
      <c r="I255" s="35">
        <v>0</v>
      </c>
      <c r="J255" s="36">
        <v>0</v>
      </c>
      <c r="K255" s="36">
        <v>0</v>
      </c>
      <c r="L255" s="35">
        <v>0</v>
      </c>
      <c r="M255" s="36">
        <v>0</v>
      </c>
      <c r="N255" s="35">
        <v>0</v>
      </c>
      <c r="O255" s="35">
        <v>0</v>
      </c>
      <c r="P255" s="35">
        <v>0</v>
      </c>
      <c r="Q255" s="36">
        <v>0</v>
      </c>
      <c r="R255" s="35">
        <v>0</v>
      </c>
      <c r="S255" s="35">
        <v>0</v>
      </c>
      <c r="T255" s="36">
        <v>0</v>
      </c>
      <c r="U255" s="35">
        <v>0</v>
      </c>
      <c r="V255" s="36">
        <v>0</v>
      </c>
      <c r="W255" s="36">
        <v>0</v>
      </c>
      <c r="X255" s="35">
        <v>0</v>
      </c>
      <c r="Y255" s="36">
        <v>0</v>
      </c>
      <c r="Z255" s="35">
        <v>0</v>
      </c>
      <c r="AA255" s="36">
        <v>0</v>
      </c>
      <c r="AB255" s="36">
        <v>0</v>
      </c>
      <c r="AC255" s="35">
        <v>0</v>
      </c>
    </row>
    <row r="256" spans="1:29" x14ac:dyDescent="0.3">
      <c r="A256" s="27" t="s">
        <v>355</v>
      </c>
      <c r="B256" s="35">
        <v>0</v>
      </c>
      <c r="C256" s="36">
        <v>0</v>
      </c>
      <c r="D256" s="35">
        <v>0</v>
      </c>
      <c r="E256" s="36">
        <v>0</v>
      </c>
      <c r="F256" s="36">
        <v>0</v>
      </c>
      <c r="G256" s="35">
        <v>0</v>
      </c>
      <c r="H256" s="36">
        <v>0</v>
      </c>
      <c r="I256" s="35">
        <v>0</v>
      </c>
      <c r="J256" s="36">
        <v>0</v>
      </c>
      <c r="K256" s="36">
        <v>0</v>
      </c>
      <c r="L256" s="35">
        <v>0</v>
      </c>
      <c r="M256" s="36">
        <v>0</v>
      </c>
      <c r="N256" s="35">
        <v>0</v>
      </c>
      <c r="O256" s="35">
        <v>0</v>
      </c>
      <c r="P256" s="35">
        <v>0</v>
      </c>
      <c r="Q256" s="36">
        <v>0</v>
      </c>
      <c r="R256" s="35">
        <v>0</v>
      </c>
      <c r="S256" s="35">
        <v>0</v>
      </c>
      <c r="T256" s="36">
        <v>0</v>
      </c>
      <c r="U256" s="35">
        <v>0</v>
      </c>
      <c r="V256" s="36">
        <v>0</v>
      </c>
      <c r="W256" s="36">
        <v>0</v>
      </c>
      <c r="X256" s="35">
        <v>0</v>
      </c>
      <c r="Y256" s="36">
        <v>0</v>
      </c>
      <c r="Z256" s="35">
        <v>0</v>
      </c>
      <c r="AA256" s="36">
        <v>0</v>
      </c>
      <c r="AB256" s="36">
        <v>0</v>
      </c>
      <c r="AC256" s="35">
        <v>0</v>
      </c>
    </row>
    <row r="257" spans="1:29" x14ac:dyDescent="0.3">
      <c r="A257" s="27" t="s">
        <v>356</v>
      </c>
      <c r="B257" s="35">
        <v>0</v>
      </c>
      <c r="C257" s="36">
        <v>0</v>
      </c>
      <c r="D257" s="35">
        <v>0</v>
      </c>
      <c r="E257" s="36">
        <v>0</v>
      </c>
      <c r="F257" s="36">
        <v>0</v>
      </c>
      <c r="G257" s="35">
        <v>0</v>
      </c>
      <c r="H257" s="36">
        <v>0</v>
      </c>
      <c r="I257" s="35">
        <v>0</v>
      </c>
      <c r="J257" s="36">
        <v>0</v>
      </c>
      <c r="K257" s="36">
        <v>0</v>
      </c>
      <c r="L257" s="35">
        <v>0</v>
      </c>
      <c r="M257" s="36">
        <v>0</v>
      </c>
      <c r="N257" s="35">
        <v>0</v>
      </c>
      <c r="O257" s="35">
        <v>0</v>
      </c>
      <c r="P257" s="35">
        <v>0</v>
      </c>
      <c r="Q257" s="36">
        <v>0</v>
      </c>
      <c r="R257" s="35">
        <v>0</v>
      </c>
      <c r="S257" s="35">
        <v>0</v>
      </c>
      <c r="T257" s="36">
        <v>0</v>
      </c>
      <c r="U257" s="35">
        <v>0</v>
      </c>
      <c r="V257" s="36">
        <v>0</v>
      </c>
      <c r="W257" s="36">
        <v>0</v>
      </c>
      <c r="X257" s="35">
        <v>0</v>
      </c>
      <c r="Y257" s="36">
        <v>0</v>
      </c>
      <c r="Z257" s="35">
        <v>0</v>
      </c>
      <c r="AA257" s="36">
        <v>0</v>
      </c>
      <c r="AB257" s="36">
        <v>0</v>
      </c>
      <c r="AC257" s="35">
        <v>0</v>
      </c>
    </row>
    <row r="258" spans="1:29" x14ac:dyDescent="0.3">
      <c r="A258" s="21" t="s">
        <v>119</v>
      </c>
      <c r="B258" s="35">
        <v>0</v>
      </c>
      <c r="C258" s="36">
        <v>0</v>
      </c>
      <c r="D258" s="35">
        <v>0</v>
      </c>
      <c r="E258" s="36">
        <v>0</v>
      </c>
      <c r="F258" s="36">
        <v>0</v>
      </c>
      <c r="G258" s="35">
        <v>0</v>
      </c>
      <c r="H258" s="36">
        <v>0</v>
      </c>
      <c r="I258" s="35">
        <v>0</v>
      </c>
      <c r="J258" s="36">
        <v>0</v>
      </c>
      <c r="K258" s="36">
        <v>0</v>
      </c>
      <c r="L258" s="35">
        <v>0</v>
      </c>
      <c r="M258" s="36">
        <v>0</v>
      </c>
      <c r="N258" s="35">
        <v>0</v>
      </c>
      <c r="O258" s="35">
        <v>0</v>
      </c>
      <c r="P258" s="35">
        <v>0</v>
      </c>
      <c r="Q258" s="36">
        <v>0</v>
      </c>
      <c r="R258" s="35">
        <v>0</v>
      </c>
      <c r="S258" s="35">
        <v>0</v>
      </c>
      <c r="T258" s="36">
        <v>0</v>
      </c>
      <c r="U258" s="35">
        <v>0</v>
      </c>
      <c r="V258" s="36">
        <v>0</v>
      </c>
      <c r="W258" s="36">
        <v>0</v>
      </c>
      <c r="X258" s="35">
        <v>0</v>
      </c>
      <c r="Y258" s="36">
        <v>0</v>
      </c>
      <c r="Z258" s="35">
        <v>0</v>
      </c>
      <c r="AA258" s="36">
        <v>0</v>
      </c>
      <c r="AB258" s="36">
        <v>0</v>
      </c>
      <c r="AC258" s="35">
        <v>0</v>
      </c>
    </row>
    <row r="259" spans="1:29" x14ac:dyDescent="0.3">
      <c r="A259" s="21" t="s">
        <v>357</v>
      </c>
      <c r="B259" s="35">
        <v>0</v>
      </c>
      <c r="C259" s="36">
        <v>0</v>
      </c>
      <c r="D259" s="35">
        <v>0</v>
      </c>
      <c r="E259" s="36">
        <v>0</v>
      </c>
      <c r="F259" s="36">
        <v>0</v>
      </c>
      <c r="G259" s="35">
        <v>0</v>
      </c>
      <c r="H259" s="36">
        <v>0</v>
      </c>
      <c r="I259" s="35">
        <v>0</v>
      </c>
      <c r="J259" s="36">
        <v>0</v>
      </c>
      <c r="K259" s="34">
        <v>1</v>
      </c>
      <c r="L259" s="35">
        <v>0</v>
      </c>
      <c r="M259" s="36">
        <v>0</v>
      </c>
      <c r="N259" s="35">
        <v>0</v>
      </c>
      <c r="O259" s="35">
        <v>0</v>
      </c>
      <c r="P259" s="35">
        <v>0</v>
      </c>
      <c r="Q259" s="36">
        <v>0</v>
      </c>
      <c r="R259" s="35">
        <v>0</v>
      </c>
      <c r="S259" s="35">
        <v>0</v>
      </c>
      <c r="T259" s="36">
        <v>0</v>
      </c>
      <c r="U259" s="35">
        <v>0</v>
      </c>
      <c r="V259" s="36">
        <v>0</v>
      </c>
      <c r="W259" s="36">
        <v>0</v>
      </c>
      <c r="X259" s="35">
        <v>0</v>
      </c>
      <c r="Y259" s="36">
        <v>0</v>
      </c>
      <c r="Z259" s="35">
        <v>0</v>
      </c>
      <c r="AA259" s="36">
        <v>0</v>
      </c>
      <c r="AB259" s="36">
        <v>0</v>
      </c>
      <c r="AC259" s="35">
        <v>0</v>
      </c>
    </row>
    <row r="260" spans="1:29" x14ac:dyDescent="0.3">
      <c r="A260" s="21" t="s">
        <v>358</v>
      </c>
      <c r="B260" s="35">
        <v>0</v>
      </c>
      <c r="C260" s="36">
        <v>0</v>
      </c>
      <c r="D260" s="35">
        <v>0</v>
      </c>
      <c r="E260" s="36">
        <v>0</v>
      </c>
      <c r="F260" s="36">
        <v>0</v>
      </c>
      <c r="G260" s="35">
        <v>0</v>
      </c>
      <c r="H260" s="36">
        <v>0</v>
      </c>
      <c r="I260" s="35">
        <v>0</v>
      </c>
      <c r="J260" s="36">
        <v>0</v>
      </c>
      <c r="K260" s="36">
        <v>0</v>
      </c>
      <c r="L260" s="35">
        <v>0</v>
      </c>
      <c r="M260" s="36">
        <v>0</v>
      </c>
      <c r="N260" s="35">
        <v>0</v>
      </c>
      <c r="O260" s="35">
        <v>0</v>
      </c>
      <c r="P260" s="35">
        <v>0</v>
      </c>
      <c r="Q260" s="36">
        <v>0</v>
      </c>
      <c r="R260" s="35">
        <v>0</v>
      </c>
      <c r="S260" s="35">
        <v>0</v>
      </c>
      <c r="T260" s="36">
        <v>0</v>
      </c>
      <c r="U260" s="35">
        <v>0</v>
      </c>
      <c r="V260" s="36">
        <v>0</v>
      </c>
      <c r="W260" s="36">
        <v>0</v>
      </c>
      <c r="X260" s="35">
        <v>0</v>
      </c>
      <c r="Y260" s="36">
        <v>0</v>
      </c>
      <c r="Z260" s="35">
        <v>0</v>
      </c>
      <c r="AA260" s="36">
        <v>0</v>
      </c>
      <c r="AB260" s="36">
        <v>0</v>
      </c>
      <c r="AC260" s="35">
        <v>0</v>
      </c>
    </row>
    <row r="261" spans="1:29" x14ac:dyDescent="0.3">
      <c r="A261" s="21" t="s">
        <v>359</v>
      </c>
      <c r="B261" s="35">
        <v>0</v>
      </c>
      <c r="C261" s="36">
        <v>0</v>
      </c>
      <c r="D261" s="35">
        <v>0</v>
      </c>
      <c r="E261" s="36">
        <v>0</v>
      </c>
      <c r="F261" s="36">
        <v>0</v>
      </c>
      <c r="G261" s="35">
        <v>0</v>
      </c>
      <c r="H261" s="36">
        <v>0</v>
      </c>
      <c r="I261" s="35">
        <v>0</v>
      </c>
      <c r="J261" s="36">
        <v>0</v>
      </c>
      <c r="K261" s="36">
        <v>0</v>
      </c>
      <c r="L261" s="35">
        <v>0</v>
      </c>
      <c r="M261" s="36">
        <v>0</v>
      </c>
      <c r="N261" s="35">
        <v>0</v>
      </c>
      <c r="O261" s="35">
        <v>0</v>
      </c>
      <c r="P261" s="35">
        <v>0</v>
      </c>
      <c r="Q261" s="36">
        <v>0</v>
      </c>
      <c r="R261" s="35">
        <v>0</v>
      </c>
      <c r="S261" s="35">
        <v>0</v>
      </c>
      <c r="T261" s="36">
        <v>0</v>
      </c>
      <c r="U261" s="35">
        <v>0</v>
      </c>
      <c r="V261" s="36">
        <v>0</v>
      </c>
      <c r="W261" s="36">
        <v>0</v>
      </c>
      <c r="X261" s="35">
        <v>0</v>
      </c>
      <c r="Y261" s="36">
        <v>0</v>
      </c>
      <c r="Z261" s="35">
        <v>0</v>
      </c>
      <c r="AA261" s="36">
        <v>0</v>
      </c>
      <c r="AB261" s="36">
        <v>0</v>
      </c>
      <c r="AC261" s="35">
        <v>0</v>
      </c>
    </row>
    <row r="262" spans="1:29" x14ac:dyDescent="0.3">
      <c r="A262" s="27" t="s">
        <v>360</v>
      </c>
      <c r="B262" s="35">
        <v>0</v>
      </c>
      <c r="C262" s="36">
        <v>0</v>
      </c>
      <c r="D262" s="35">
        <v>0</v>
      </c>
      <c r="E262" s="36">
        <v>0</v>
      </c>
      <c r="F262" s="36">
        <v>0</v>
      </c>
      <c r="G262" s="35">
        <v>0</v>
      </c>
      <c r="H262" s="36">
        <v>0</v>
      </c>
      <c r="I262" s="35">
        <v>0</v>
      </c>
      <c r="J262" s="36">
        <v>0</v>
      </c>
      <c r="K262" s="36">
        <v>0</v>
      </c>
      <c r="L262" s="35">
        <v>0</v>
      </c>
      <c r="M262" s="36">
        <v>0</v>
      </c>
      <c r="N262" s="35">
        <v>0</v>
      </c>
      <c r="O262" s="35">
        <v>0</v>
      </c>
      <c r="P262" s="35">
        <v>0</v>
      </c>
      <c r="Q262" s="36">
        <v>0</v>
      </c>
      <c r="R262" s="35">
        <v>0</v>
      </c>
      <c r="S262" s="35">
        <v>0</v>
      </c>
      <c r="T262" s="36">
        <v>0</v>
      </c>
      <c r="U262" s="35">
        <v>0</v>
      </c>
      <c r="V262" s="36">
        <v>0</v>
      </c>
      <c r="W262" s="36">
        <v>0</v>
      </c>
      <c r="X262" s="35">
        <v>0</v>
      </c>
      <c r="Y262" s="36">
        <v>0</v>
      </c>
      <c r="Z262" s="35">
        <v>0</v>
      </c>
      <c r="AA262" s="36">
        <v>0</v>
      </c>
      <c r="AB262" s="36">
        <v>0</v>
      </c>
      <c r="AC262" s="35">
        <v>0</v>
      </c>
    </row>
    <row r="263" spans="1:29" x14ac:dyDescent="0.3">
      <c r="A263" s="21" t="s">
        <v>361</v>
      </c>
      <c r="B263" s="35">
        <v>0</v>
      </c>
      <c r="C263" s="36">
        <v>0</v>
      </c>
      <c r="D263" s="35">
        <v>0</v>
      </c>
      <c r="E263" s="36">
        <v>0</v>
      </c>
      <c r="F263" s="36">
        <v>0</v>
      </c>
      <c r="G263" s="35">
        <v>0</v>
      </c>
      <c r="H263" s="36">
        <v>0</v>
      </c>
      <c r="I263" s="29">
        <v>2</v>
      </c>
      <c r="J263" s="36">
        <v>0</v>
      </c>
      <c r="K263" s="36">
        <v>0</v>
      </c>
      <c r="L263" s="35">
        <v>0</v>
      </c>
      <c r="M263" s="34">
        <v>2</v>
      </c>
      <c r="N263" s="35">
        <v>0</v>
      </c>
      <c r="O263" s="35">
        <v>0</v>
      </c>
      <c r="P263" s="35">
        <v>0</v>
      </c>
      <c r="Q263" s="36">
        <v>0</v>
      </c>
      <c r="R263" s="35">
        <v>0</v>
      </c>
      <c r="S263" s="35">
        <v>0</v>
      </c>
      <c r="T263" s="36">
        <v>0</v>
      </c>
      <c r="U263" s="35">
        <v>0</v>
      </c>
      <c r="V263" s="36">
        <v>0</v>
      </c>
      <c r="W263" s="36">
        <v>0</v>
      </c>
      <c r="X263" s="35">
        <v>0</v>
      </c>
      <c r="Y263" s="36">
        <v>0</v>
      </c>
      <c r="Z263" s="35">
        <v>0</v>
      </c>
      <c r="AA263" s="36">
        <v>0</v>
      </c>
      <c r="AB263" s="36">
        <v>0</v>
      </c>
      <c r="AC263" s="35">
        <v>0</v>
      </c>
    </row>
    <row r="264" spans="1:29" x14ac:dyDescent="0.3">
      <c r="A264" s="21" t="s">
        <v>362</v>
      </c>
      <c r="B264" s="35">
        <v>0</v>
      </c>
      <c r="C264" s="36">
        <v>0</v>
      </c>
      <c r="D264" s="35">
        <v>0</v>
      </c>
      <c r="E264" s="36">
        <v>0</v>
      </c>
      <c r="F264" s="36">
        <v>0</v>
      </c>
      <c r="G264" s="35">
        <v>0</v>
      </c>
      <c r="H264" s="36">
        <v>0</v>
      </c>
      <c r="I264" s="35">
        <v>0</v>
      </c>
      <c r="J264" s="36">
        <v>0</v>
      </c>
      <c r="K264" s="36">
        <v>0</v>
      </c>
      <c r="L264" s="35">
        <v>0</v>
      </c>
      <c r="M264" s="36">
        <v>0</v>
      </c>
      <c r="N264" s="35">
        <v>0</v>
      </c>
      <c r="O264" s="35">
        <v>0</v>
      </c>
      <c r="P264" s="35">
        <v>0</v>
      </c>
      <c r="Q264" s="36">
        <v>0</v>
      </c>
      <c r="R264" s="35">
        <v>0</v>
      </c>
      <c r="S264" s="35">
        <v>0</v>
      </c>
      <c r="T264" s="36">
        <v>0</v>
      </c>
      <c r="U264" s="35">
        <v>0</v>
      </c>
      <c r="V264" s="36">
        <v>0</v>
      </c>
      <c r="W264" s="36">
        <v>0</v>
      </c>
      <c r="X264" s="35">
        <v>0</v>
      </c>
      <c r="Y264" s="36">
        <v>0</v>
      </c>
      <c r="Z264" s="35">
        <v>0</v>
      </c>
      <c r="AA264" s="36">
        <v>0</v>
      </c>
      <c r="AB264" s="36">
        <v>0</v>
      </c>
      <c r="AC264" s="35">
        <v>0</v>
      </c>
    </row>
    <row r="265" spans="1:29" x14ac:dyDescent="0.3">
      <c r="A265" s="21" t="s">
        <v>363</v>
      </c>
      <c r="B265" s="35">
        <v>0</v>
      </c>
      <c r="C265" s="34">
        <v>1</v>
      </c>
      <c r="D265" s="29">
        <v>1</v>
      </c>
      <c r="E265" s="34">
        <v>3</v>
      </c>
      <c r="F265" s="36">
        <v>0</v>
      </c>
      <c r="G265" s="29">
        <v>3</v>
      </c>
      <c r="H265" s="34">
        <v>1</v>
      </c>
      <c r="I265" s="29">
        <v>4</v>
      </c>
      <c r="J265" s="34">
        <v>1</v>
      </c>
      <c r="K265" s="34">
        <v>4</v>
      </c>
      <c r="L265" s="29">
        <v>8</v>
      </c>
      <c r="M265" s="34">
        <v>4</v>
      </c>
      <c r="N265" s="29">
        <v>5</v>
      </c>
      <c r="O265" s="29">
        <v>1</v>
      </c>
      <c r="P265" s="29">
        <v>1</v>
      </c>
      <c r="Q265" s="34">
        <v>3</v>
      </c>
      <c r="R265" s="35">
        <v>0</v>
      </c>
      <c r="S265" s="35">
        <v>0</v>
      </c>
      <c r="T265" s="34">
        <v>7</v>
      </c>
      <c r="U265" s="29">
        <v>11</v>
      </c>
      <c r="V265" s="34">
        <v>3</v>
      </c>
      <c r="W265" s="36">
        <v>0</v>
      </c>
      <c r="X265" s="35">
        <v>0</v>
      </c>
      <c r="Y265" s="34">
        <v>2</v>
      </c>
      <c r="Z265" s="29">
        <v>5</v>
      </c>
      <c r="AA265" s="34">
        <v>1</v>
      </c>
      <c r="AB265" s="34">
        <v>5</v>
      </c>
      <c r="AC265" s="35">
        <v>0</v>
      </c>
    </row>
    <row r="266" spans="1:29" x14ac:dyDescent="0.3">
      <c r="A266" s="27" t="s">
        <v>364</v>
      </c>
      <c r="B266" s="29">
        <v>2</v>
      </c>
      <c r="C266" s="36">
        <v>0</v>
      </c>
      <c r="D266" s="29">
        <v>11</v>
      </c>
      <c r="E266" s="34">
        <v>2</v>
      </c>
      <c r="F266" s="36">
        <v>0</v>
      </c>
      <c r="G266" s="29">
        <v>4</v>
      </c>
      <c r="H266" s="34">
        <v>5</v>
      </c>
      <c r="I266" s="29">
        <v>2</v>
      </c>
      <c r="J266" s="34">
        <v>1</v>
      </c>
      <c r="K266" s="34">
        <v>1</v>
      </c>
      <c r="L266" s="29">
        <v>17</v>
      </c>
      <c r="M266" s="34">
        <v>4</v>
      </c>
      <c r="N266" s="29">
        <v>6</v>
      </c>
      <c r="O266" s="29">
        <v>7</v>
      </c>
      <c r="P266" s="29">
        <v>3</v>
      </c>
      <c r="Q266" s="34">
        <v>3</v>
      </c>
      <c r="R266" s="35">
        <v>0</v>
      </c>
      <c r="S266" s="29">
        <v>2</v>
      </c>
      <c r="T266" s="34">
        <v>4</v>
      </c>
      <c r="U266" s="29">
        <v>6</v>
      </c>
      <c r="V266" s="34">
        <v>1</v>
      </c>
      <c r="W266" s="34">
        <v>3</v>
      </c>
      <c r="X266" s="35">
        <v>0</v>
      </c>
      <c r="Y266" s="34">
        <v>4</v>
      </c>
      <c r="Z266" s="29">
        <v>5</v>
      </c>
      <c r="AA266" s="36">
        <v>0</v>
      </c>
      <c r="AB266" s="36">
        <v>0</v>
      </c>
      <c r="AC266" s="29">
        <v>2</v>
      </c>
    </row>
    <row r="267" spans="1:29" x14ac:dyDescent="0.3">
      <c r="A267" s="21" t="s">
        <v>119</v>
      </c>
      <c r="B267" s="35">
        <v>0</v>
      </c>
      <c r="C267" s="36">
        <v>0</v>
      </c>
      <c r="D267" s="35">
        <v>0</v>
      </c>
      <c r="E267" s="36">
        <v>0</v>
      </c>
      <c r="F267" s="36">
        <v>0</v>
      </c>
      <c r="G267" s="35">
        <v>0</v>
      </c>
      <c r="H267" s="36">
        <v>0</v>
      </c>
      <c r="I267" s="35">
        <v>0</v>
      </c>
      <c r="J267" s="36">
        <v>0</v>
      </c>
      <c r="K267" s="36">
        <v>0</v>
      </c>
      <c r="L267" s="35">
        <v>0</v>
      </c>
      <c r="M267" s="36">
        <v>0</v>
      </c>
      <c r="N267" s="35">
        <v>0</v>
      </c>
      <c r="O267" s="35">
        <v>0</v>
      </c>
      <c r="P267" s="35">
        <v>0</v>
      </c>
      <c r="Q267" s="36">
        <v>0</v>
      </c>
      <c r="R267" s="35">
        <v>0</v>
      </c>
      <c r="S267" s="35">
        <v>0</v>
      </c>
      <c r="T267" s="36">
        <v>0</v>
      </c>
      <c r="U267" s="35">
        <v>0</v>
      </c>
      <c r="V267" s="36">
        <v>0</v>
      </c>
      <c r="W267" s="36">
        <v>0</v>
      </c>
      <c r="X267" s="35">
        <v>0</v>
      </c>
      <c r="Y267" s="36">
        <v>0</v>
      </c>
      <c r="Z267" s="35">
        <v>0</v>
      </c>
      <c r="AA267" s="36">
        <v>0</v>
      </c>
      <c r="AB267" s="36">
        <v>0</v>
      </c>
      <c r="AC267" s="35">
        <v>0</v>
      </c>
    </row>
    <row r="268" spans="1:29" x14ac:dyDescent="0.3">
      <c r="A268" s="21" t="s">
        <v>365</v>
      </c>
      <c r="B268" s="35">
        <v>0</v>
      </c>
      <c r="C268" s="36">
        <v>0</v>
      </c>
      <c r="D268" s="35">
        <v>0</v>
      </c>
      <c r="E268" s="36">
        <v>0</v>
      </c>
      <c r="F268" s="36">
        <v>0</v>
      </c>
      <c r="G268" s="35">
        <v>0</v>
      </c>
      <c r="H268" s="36">
        <v>0</v>
      </c>
      <c r="I268" s="35">
        <v>0</v>
      </c>
      <c r="J268" s="36">
        <v>0</v>
      </c>
      <c r="K268" s="36">
        <v>0</v>
      </c>
      <c r="L268" s="35">
        <v>0</v>
      </c>
      <c r="M268" s="36">
        <v>0</v>
      </c>
      <c r="N268" s="35">
        <v>0</v>
      </c>
      <c r="O268" s="35">
        <v>0</v>
      </c>
      <c r="P268" s="35">
        <v>0</v>
      </c>
      <c r="Q268" s="36">
        <v>0</v>
      </c>
      <c r="R268" s="35">
        <v>0</v>
      </c>
      <c r="S268" s="35">
        <v>0</v>
      </c>
      <c r="T268" s="36">
        <v>0</v>
      </c>
      <c r="U268" s="35">
        <v>0</v>
      </c>
      <c r="V268" s="36">
        <v>0</v>
      </c>
      <c r="W268" s="36">
        <v>0</v>
      </c>
      <c r="X268" s="35">
        <v>0</v>
      </c>
      <c r="Y268" s="36">
        <v>0</v>
      </c>
      <c r="Z268" s="35">
        <v>0</v>
      </c>
      <c r="AA268" s="36">
        <v>0</v>
      </c>
      <c r="AB268" s="36">
        <v>0</v>
      </c>
      <c r="AC268" s="35">
        <v>0</v>
      </c>
    </row>
    <row r="269" spans="1:29" x14ac:dyDescent="0.3">
      <c r="A269" s="21" t="s">
        <v>366</v>
      </c>
      <c r="B269" s="35">
        <v>0</v>
      </c>
      <c r="C269" s="36">
        <v>0</v>
      </c>
      <c r="D269" s="35">
        <v>0</v>
      </c>
      <c r="E269" s="36">
        <v>0</v>
      </c>
      <c r="F269" s="36">
        <v>0</v>
      </c>
      <c r="G269" s="35">
        <v>0</v>
      </c>
      <c r="H269" s="36">
        <v>0</v>
      </c>
      <c r="I269" s="35">
        <v>0</v>
      </c>
      <c r="J269" s="36">
        <v>0</v>
      </c>
      <c r="K269" s="36">
        <v>0</v>
      </c>
      <c r="L269" s="35">
        <v>0</v>
      </c>
      <c r="M269" s="36">
        <v>0</v>
      </c>
      <c r="N269" s="35">
        <v>0</v>
      </c>
      <c r="O269" s="35">
        <v>0</v>
      </c>
      <c r="P269" s="35">
        <v>0</v>
      </c>
      <c r="Q269" s="36">
        <v>0</v>
      </c>
      <c r="R269" s="35">
        <v>0</v>
      </c>
      <c r="S269" s="35">
        <v>0</v>
      </c>
      <c r="T269" s="36">
        <v>0</v>
      </c>
      <c r="U269" s="35">
        <v>0</v>
      </c>
      <c r="V269" s="36">
        <v>0</v>
      </c>
      <c r="W269" s="36">
        <v>0</v>
      </c>
      <c r="X269" s="35">
        <v>0</v>
      </c>
      <c r="Y269" s="36">
        <v>0</v>
      </c>
      <c r="Z269" s="35">
        <v>0</v>
      </c>
      <c r="AA269" s="36">
        <v>0</v>
      </c>
      <c r="AB269" s="36">
        <v>0</v>
      </c>
      <c r="AC269" s="35">
        <v>0</v>
      </c>
    </row>
    <row r="270" spans="1:29" x14ac:dyDescent="0.3">
      <c r="A270" s="21" t="s">
        <v>367</v>
      </c>
      <c r="B270" s="35">
        <v>0</v>
      </c>
      <c r="C270" s="36">
        <v>0</v>
      </c>
      <c r="D270" s="35">
        <v>0</v>
      </c>
      <c r="E270" s="36">
        <v>0</v>
      </c>
      <c r="F270" s="36">
        <v>0</v>
      </c>
      <c r="G270" s="35">
        <v>0</v>
      </c>
      <c r="H270" s="36">
        <v>0</v>
      </c>
      <c r="I270" s="35">
        <v>0</v>
      </c>
      <c r="J270" s="36">
        <v>0</v>
      </c>
      <c r="K270" s="36">
        <v>0</v>
      </c>
      <c r="L270" s="35">
        <v>0</v>
      </c>
      <c r="M270" s="36">
        <v>0</v>
      </c>
      <c r="N270" s="35">
        <v>0</v>
      </c>
      <c r="O270" s="35">
        <v>0</v>
      </c>
      <c r="P270" s="35">
        <v>0</v>
      </c>
      <c r="Q270" s="36">
        <v>0</v>
      </c>
      <c r="R270" s="35">
        <v>0</v>
      </c>
      <c r="S270" s="35">
        <v>0</v>
      </c>
      <c r="T270" s="36">
        <v>0</v>
      </c>
      <c r="U270" s="35">
        <v>0</v>
      </c>
      <c r="V270" s="36">
        <v>0</v>
      </c>
      <c r="W270" s="36">
        <v>0</v>
      </c>
      <c r="X270" s="35">
        <v>0</v>
      </c>
      <c r="Y270" s="36">
        <v>0</v>
      </c>
      <c r="Z270" s="35">
        <v>0</v>
      </c>
      <c r="AA270" s="36">
        <v>0</v>
      </c>
      <c r="AB270" s="36">
        <v>0</v>
      </c>
      <c r="AC270" s="35">
        <v>0</v>
      </c>
    </row>
    <row r="271" spans="1:29" x14ac:dyDescent="0.3">
      <c r="A271" s="21" t="s">
        <v>368</v>
      </c>
      <c r="B271" s="35">
        <v>0</v>
      </c>
      <c r="C271" s="36">
        <v>0</v>
      </c>
      <c r="D271" s="35">
        <v>0</v>
      </c>
      <c r="E271" s="36">
        <v>0</v>
      </c>
      <c r="F271" s="36">
        <v>0</v>
      </c>
      <c r="G271" s="35">
        <v>0</v>
      </c>
      <c r="H271" s="36">
        <v>0</v>
      </c>
      <c r="I271" s="35">
        <v>0</v>
      </c>
      <c r="J271" s="36">
        <v>0</v>
      </c>
      <c r="K271" s="36">
        <v>0</v>
      </c>
      <c r="L271" s="35">
        <v>0</v>
      </c>
      <c r="M271" s="36">
        <v>0</v>
      </c>
      <c r="N271" s="35">
        <v>0</v>
      </c>
      <c r="O271" s="35">
        <v>0</v>
      </c>
      <c r="P271" s="35">
        <v>0</v>
      </c>
      <c r="Q271" s="36">
        <v>0</v>
      </c>
      <c r="R271" s="35">
        <v>0</v>
      </c>
      <c r="S271" s="35">
        <v>0</v>
      </c>
      <c r="T271" s="36">
        <v>0</v>
      </c>
      <c r="U271" s="35">
        <v>0</v>
      </c>
      <c r="V271" s="36">
        <v>0</v>
      </c>
      <c r="W271" s="36">
        <v>0</v>
      </c>
      <c r="X271" s="35">
        <v>0</v>
      </c>
      <c r="Y271" s="36">
        <v>0</v>
      </c>
      <c r="Z271" s="35">
        <v>0</v>
      </c>
      <c r="AA271" s="36">
        <v>0</v>
      </c>
      <c r="AB271" s="36">
        <v>0</v>
      </c>
      <c r="AC271" s="35">
        <v>0</v>
      </c>
    </row>
    <row r="272" spans="1:29" x14ac:dyDescent="0.3">
      <c r="A272" s="27" t="s">
        <v>369</v>
      </c>
      <c r="B272" s="35">
        <v>0</v>
      </c>
      <c r="C272" s="36">
        <v>0</v>
      </c>
      <c r="D272" s="35">
        <v>0</v>
      </c>
      <c r="E272" s="36">
        <v>0</v>
      </c>
      <c r="F272" s="36">
        <v>0</v>
      </c>
      <c r="G272" s="35">
        <v>0</v>
      </c>
      <c r="H272" s="36">
        <v>0</v>
      </c>
      <c r="I272" s="35">
        <v>0</v>
      </c>
      <c r="J272" s="36">
        <v>0</v>
      </c>
      <c r="K272" s="36">
        <v>0</v>
      </c>
      <c r="L272" s="35">
        <v>0</v>
      </c>
      <c r="M272" s="36">
        <v>0</v>
      </c>
      <c r="N272" s="35">
        <v>0</v>
      </c>
      <c r="O272" s="35">
        <v>0</v>
      </c>
      <c r="P272" s="35">
        <v>0</v>
      </c>
      <c r="Q272" s="36">
        <v>0</v>
      </c>
      <c r="R272" s="35">
        <v>0</v>
      </c>
      <c r="S272" s="35">
        <v>0</v>
      </c>
      <c r="T272" s="36">
        <v>0</v>
      </c>
      <c r="U272" s="35">
        <v>0</v>
      </c>
      <c r="V272" s="36">
        <v>0</v>
      </c>
      <c r="W272" s="36">
        <v>0</v>
      </c>
      <c r="X272" s="35">
        <v>0</v>
      </c>
      <c r="Y272" s="36">
        <v>0</v>
      </c>
      <c r="Z272" s="35">
        <v>0</v>
      </c>
      <c r="AA272" s="36">
        <v>0</v>
      </c>
      <c r="AB272" s="36">
        <v>0</v>
      </c>
      <c r="AC272" s="35">
        <v>0</v>
      </c>
    </row>
    <row r="273" spans="1:29" x14ac:dyDescent="0.3">
      <c r="A273" s="21" t="s">
        <v>370</v>
      </c>
      <c r="B273" s="35">
        <v>0</v>
      </c>
      <c r="C273" s="36">
        <v>0</v>
      </c>
      <c r="D273" s="35">
        <v>0</v>
      </c>
      <c r="E273" s="36">
        <v>0</v>
      </c>
      <c r="F273" s="36">
        <v>0</v>
      </c>
      <c r="G273" s="35">
        <v>0</v>
      </c>
      <c r="H273" s="36">
        <v>0</v>
      </c>
      <c r="I273" s="35">
        <v>0</v>
      </c>
      <c r="J273" s="36">
        <v>0</v>
      </c>
      <c r="K273" s="36">
        <v>0</v>
      </c>
      <c r="L273" s="35">
        <v>0</v>
      </c>
      <c r="M273" s="36">
        <v>0</v>
      </c>
      <c r="N273" s="35">
        <v>0</v>
      </c>
      <c r="O273" s="35">
        <v>0</v>
      </c>
      <c r="P273" s="35">
        <v>0</v>
      </c>
      <c r="Q273" s="36">
        <v>0</v>
      </c>
      <c r="R273" s="35">
        <v>0</v>
      </c>
      <c r="S273" s="35">
        <v>0</v>
      </c>
      <c r="T273" s="36">
        <v>0</v>
      </c>
      <c r="U273" s="35">
        <v>0</v>
      </c>
      <c r="V273" s="36">
        <v>0</v>
      </c>
      <c r="W273" s="36">
        <v>0</v>
      </c>
      <c r="X273" s="35">
        <v>0</v>
      </c>
      <c r="Y273" s="36">
        <v>0</v>
      </c>
      <c r="Z273" s="35">
        <v>0</v>
      </c>
      <c r="AA273" s="36">
        <v>0</v>
      </c>
      <c r="AB273" s="36">
        <v>0</v>
      </c>
      <c r="AC273" s="35">
        <v>0</v>
      </c>
    </row>
    <row r="274" spans="1:29" x14ac:dyDescent="0.3">
      <c r="A274" s="27" t="s">
        <v>371</v>
      </c>
      <c r="B274" s="35">
        <v>0</v>
      </c>
      <c r="C274" s="36">
        <v>0</v>
      </c>
      <c r="D274" s="35">
        <v>0</v>
      </c>
      <c r="E274" s="36">
        <v>0</v>
      </c>
      <c r="F274" s="36">
        <v>0</v>
      </c>
      <c r="G274" s="35">
        <v>0</v>
      </c>
      <c r="H274" s="36">
        <v>0</v>
      </c>
      <c r="I274" s="35">
        <v>0</v>
      </c>
      <c r="J274" s="36">
        <v>0</v>
      </c>
      <c r="K274" s="36">
        <v>0</v>
      </c>
      <c r="L274" s="35">
        <v>0</v>
      </c>
      <c r="M274" s="36">
        <v>0</v>
      </c>
      <c r="N274" s="35">
        <v>0</v>
      </c>
      <c r="O274" s="35">
        <v>0</v>
      </c>
      <c r="P274" s="35">
        <v>0</v>
      </c>
      <c r="Q274" s="36">
        <v>0</v>
      </c>
      <c r="R274" s="35">
        <v>0</v>
      </c>
      <c r="S274" s="35">
        <v>0</v>
      </c>
      <c r="T274" s="36">
        <v>0</v>
      </c>
      <c r="U274" s="35">
        <v>0</v>
      </c>
      <c r="V274" s="36">
        <v>0</v>
      </c>
      <c r="W274" s="36">
        <v>0</v>
      </c>
      <c r="X274" s="35">
        <v>0</v>
      </c>
      <c r="Y274" s="36">
        <v>0</v>
      </c>
      <c r="Z274" s="35">
        <v>0</v>
      </c>
      <c r="AA274" s="36">
        <v>0</v>
      </c>
      <c r="AB274" s="36">
        <v>0</v>
      </c>
      <c r="AC274" s="35">
        <v>0</v>
      </c>
    </row>
    <row r="275" spans="1:29" x14ac:dyDescent="0.3">
      <c r="A275" s="21" t="s">
        <v>372</v>
      </c>
      <c r="B275" s="35">
        <v>0</v>
      </c>
      <c r="C275" s="36">
        <v>0</v>
      </c>
      <c r="D275" s="35">
        <v>0</v>
      </c>
      <c r="E275" s="36">
        <v>0</v>
      </c>
      <c r="F275" s="36">
        <v>0</v>
      </c>
      <c r="G275" s="35">
        <v>0</v>
      </c>
      <c r="H275" s="36">
        <v>0</v>
      </c>
      <c r="I275" s="35">
        <v>0</v>
      </c>
      <c r="J275" s="36">
        <v>0</v>
      </c>
      <c r="K275" s="36">
        <v>0</v>
      </c>
      <c r="L275" s="35">
        <v>0</v>
      </c>
      <c r="M275" s="36">
        <v>0</v>
      </c>
      <c r="N275" s="35">
        <v>0</v>
      </c>
      <c r="O275" s="35">
        <v>0</v>
      </c>
      <c r="P275" s="35">
        <v>0</v>
      </c>
      <c r="Q275" s="36">
        <v>0</v>
      </c>
      <c r="R275" s="35">
        <v>0</v>
      </c>
      <c r="S275" s="35">
        <v>0</v>
      </c>
      <c r="T275" s="36">
        <v>0</v>
      </c>
      <c r="U275" s="35">
        <v>0</v>
      </c>
      <c r="V275" s="36">
        <v>0</v>
      </c>
      <c r="W275" s="36">
        <v>0</v>
      </c>
      <c r="X275" s="35">
        <v>0</v>
      </c>
      <c r="Y275" s="36">
        <v>0</v>
      </c>
      <c r="Z275" s="35">
        <v>0</v>
      </c>
      <c r="AA275" s="36">
        <v>0</v>
      </c>
      <c r="AB275" s="36">
        <v>0</v>
      </c>
      <c r="AC275" s="35">
        <v>0</v>
      </c>
    </row>
    <row r="276" spans="1:29" x14ac:dyDescent="0.3">
      <c r="A276" s="27" t="s">
        <v>373</v>
      </c>
      <c r="B276" s="35">
        <v>0</v>
      </c>
      <c r="C276" s="36">
        <v>0</v>
      </c>
      <c r="D276" s="29">
        <v>1</v>
      </c>
      <c r="E276" s="36">
        <v>0</v>
      </c>
      <c r="F276" s="36">
        <v>0</v>
      </c>
      <c r="G276" s="35">
        <v>0</v>
      </c>
      <c r="H276" s="36">
        <v>0</v>
      </c>
      <c r="I276" s="35">
        <v>0</v>
      </c>
      <c r="J276" s="36">
        <v>0</v>
      </c>
      <c r="K276" s="36">
        <v>0</v>
      </c>
      <c r="L276" s="35">
        <v>0</v>
      </c>
      <c r="M276" s="36">
        <v>0</v>
      </c>
      <c r="N276" s="35">
        <v>0</v>
      </c>
      <c r="O276" s="35">
        <v>0</v>
      </c>
      <c r="P276" s="35">
        <v>0</v>
      </c>
      <c r="Q276" s="36">
        <v>0</v>
      </c>
      <c r="R276" s="35">
        <v>0</v>
      </c>
      <c r="S276" s="35">
        <v>0</v>
      </c>
      <c r="T276" s="36">
        <v>0</v>
      </c>
      <c r="U276" s="35">
        <v>0</v>
      </c>
      <c r="V276" s="36">
        <v>0</v>
      </c>
      <c r="W276" s="36">
        <v>0</v>
      </c>
      <c r="X276" s="35">
        <v>0</v>
      </c>
      <c r="Y276" s="36">
        <v>0</v>
      </c>
      <c r="Z276" s="35">
        <v>0</v>
      </c>
      <c r="AA276" s="36">
        <v>0</v>
      </c>
      <c r="AB276" s="36">
        <v>0</v>
      </c>
      <c r="AC276" s="35">
        <v>0</v>
      </c>
    </row>
    <row r="277" spans="1:29" x14ac:dyDescent="0.3">
      <c r="A277" s="21" t="s">
        <v>119</v>
      </c>
      <c r="B277" s="35">
        <v>0</v>
      </c>
      <c r="C277" s="36">
        <v>0</v>
      </c>
      <c r="D277" s="35">
        <v>0</v>
      </c>
      <c r="E277" s="36">
        <v>0</v>
      </c>
      <c r="F277" s="36">
        <v>0</v>
      </c>
      <c r="G277" s="35">
        <v>0</v>
      </c>
      <c r="H277" s="36">
        <v>0</v>
      </c>
      <c r="I277" s="35">
        <v>0</v>
      </c>
      <c r="J277" s="36">
        <v>0</v>
      </c>
      <c r="K277" s="36">
        <v>0</v>
      </c>
      <c r="L277" s="35">
        <v>0</v>
      </c>
      <c r="M277" s="36">
        <v>0</v>
      </c>
      <c r="N277" s="35">
        <v>0</v>
      </c>
      <c r="O277" s="35">
        <v>0</v>
      </c>
      <c r="P277" s="35">
        <v>0</v>
      </c>
      <c r="Q277" s="36">
        <v>0</v>
      </c>
      <c r="R277" s="35">
        <v>0</v>
      </c>
      <c r="S277" s="35">
        <v>0</v>
      </c>
      <c r="T277" s="36">
        <v>0</v>
      </c>
      <c r="U277" s="35">
        <v>0</v>
      </c>
      <c r="V277" s="36">
        <v>0</v>
      </c>
      <c r="W277" s="36">
        <v>0</v>
      </c>
      <c r="X277" s="35">
        <v>0</v>
      </c>
      <c r="Y277" s="36">
        <v>0</v>
      </c>
      <c r="Z277" s="35">
        <v>0</v>
      </c>
      <c r="AA277" s="36">
        <v>0</v>
      </c>
      <c r="AB277" s="36">
        <v>0</v>
      </c>
      <c r="AC277" s="35">
        <v>0</v>
      </c>
    </row>
    <row r="278" spans="1:29" x14ac:dyDescent="0.3">
      <c r="A278" s="21" t="s">
        <v>374</v>
      </c>
      <c r="B278" s="35">
        <v>0</v>
      </c>
      <c r="C278" s="36">
        <v>0</v>
      </c>
      <c r="D278" s="35">
        <v>0</v>
      </c>
      <c r="E278" s="36">
        <v>0</v>
      </c>
      <c r="F278" s="36">
        <v>0</v>
      </c>
      <c r="G278" s="35">
        <v>0</v>
      </c>
      <c r="H278" s="36">
        <v>0</v>
      </c>
      <c r="I278" s="35">
        <v>0</v>
      </c>
      <c r="J278" s="36">
        <v>0</v>
      </c>
      <c r="K278" s="36">
        <v>0</v>
      </c>
      <c r="L278" s="35">
        <v>0</v>
      </c>
      <c r="M278" s="36">
        <v>0</v>
      </c>
      <c r="N278" s="35">
        <v>0</v>
      </c>
      <c r="O278" s="35">
        <v>0</v>
      </c>
      <c r="P278" s="35">
        <v>0</v>
      </c>
      <c r="Q278" s="36">
        <v>0</v>
      </c>
      <c r="R278" s="35">
        <v>0</v>
      </c>
      <c r="S278" s="35">
        <v>0</v>
      </c>
      <c r="T278" s="36">
        <v>0</v>
      </c>
      <c r="U278" s="35">
        <v>0</v>
      </c>
      <c r="V278" s="36">
        <v>0</v>
      </c>
      <c r="W278" s="36">
        <v>0</v>
      </c>
      <c r="X278" s="35">
        <v>0</v>
      </c>
      <c r="Y278" s="36">
        <v>0</v>
      </c>
      <c r="Z278" s="35">
        <v>0</v>
      </c>
      <c r="AA278" s="36">
        <v>0</v>
      </c>
      <c r="AB278" s="36">
        <v>0</v>
      </c>
      <c r="AC278" s="35">
        <v>0</v>
      </c>
    </row>
    <row r="279" spans="1:29" x14ac:dyDescent="0.3">
      <c r="A279" s="21" t="s">
        <v>375</v>
      </c>
      <c r="B279" s="35">
        <v>0</v>
      </c>
      <c r="C279" s="36">
        <v>0</v>
      </c>
      <c r="D279" s="35">
        <v>0</v>
      </c>
      <c r="E279" s="36">
        <v>0</v>
      </c>
      <c r="F279" s="36">
        <v>0</v>
      </c>
      <c r="G279" s="35">
        <v>0</v>
      </c>
      <c r="H279" s="36">
        <v>0</v>
      </c>
      <c r="I279" s="35">
        <v>0</v>
      </c>
      <c r="J279" s="36">
        <v>0</v>
      </c>
      <c r="K279" s="36">
        <v>0</v>
      </c>
      <c r="L279" s="35">
        <v>0</v>
      </c>
      <c r="M279" s="36">
        <v>0</v>
      </c>
      <c r="N279" s="35">
        <v>0</v>
      </c>
      <c r="O279" s="35">
        <v>0</v>
      </c>
      <c r="P279" s="35">
        <v>0</v>
      </c>
      <c r="Q279" s="36">
        <v>0</v>
      </c>
      <c r="R279" s="35">
        <v>0</v>
      </c>
      <c r="S279" s="35">
        <v>0</v>
      </c>
      <c r="T279" s="36">
        <v>0</v>
      </c>
      <c r="U279" s="35">
        <v>0</v>
      </c>
      <c r="V279" s="36">
        <v>0</v>
      </c>
      <c r="W279" s="36">
        <v>0</v>
      </c>
      <c r="X279" s="35">
        <v>0</v>
      </c>
      <c r="Y279" s="36">
        <v>0</v>
      </c>
      <c r="Z279" s="35">
        <v>0</v>
      </c>
      <c r="AA279" s="34">
        <v>1</v>
      </c>
      <c r="AB279" s="36">
        <v>0</v>
      </c>
      <c r="AC279" s="35">
        <v>0</v>
      </c>
    </row>
    <row r="280" spans="1:29" x14ac:dyDescent="0.3">
      <c r="A280" s="21" t="s">
        <v>376</v>
      </c>
      <c r="B280" s="35">
        <v>0</v>
      </c>
      <c r="C280" s="34">
        <v>3</v>
      </c>
      <c r="D280" s="35">
        <v>0</v>
      </c>
      <c r="E280" s="34">
        <v>4</v>
      </c>
      <c r="F280" s="36">
        <v>0</v>
      </c>
      <c r="G280" s="35">
        <v>0</v>
      </c>
      <c r="H280" s="34">
        <v>3</v>
      </c>
      <c r="I280" s="35">
        <v>0</v>
      </c>
      <c r="J280" s="36">
        <v>0</v>
      </c>
      <c r="K280" s="36">
        <v>0</v>
      </c>
      <c r="L280" s="29">
        <v>7</v>
      </c>
      <c r="M280" s="36">
        <v>0</v>
      </c>
      <c r="N280" s="29">
        <v>3</v>
      </c>
      <c r="O280" s="35">
        <v>0</v>
      </c>
      <c r="P280" s="35">
        <v>0</v>
      </c>
      <c r="Q280" s="36">
        <v>0</v>
      </c>
      <c r="R280" s="35">
        <v>0</v>
      </c>
      <c r="S280" s="35">
        <v>0</v>
      </c>
      <c r="T280" s="36">
        <v>0</v>
      </c>
      <c r="U280" s="29">
        <v>1</v>
      </c>
      <c r="V280" s="36">
        <v>0</v>
      </c>
      <c r="W280" s="36">
        <v>0</v>
      </c>
      <c r="X280" s="29">
        <v>2</v>
      </c>
      <c r="Y280" s="36">
        <v>0</v>
      </c>
      <c r="Z280" s="29">
        <v>1</v>
      </c>
      <c r="AA280" s="36">
        <v>0</v>
      </c>
      <c r="AB280" s="36">
        <v>0</v>
      </c>
      <c r="AC280" s="35">
        <v>0</v>
      </c>
    </row>
    <row r="281" spans="1:29" x14ac:dyDescent="0.3">
      <c r="A281" s="21" t="s">
        <v>377</v>
      </c>
      <c r="B281" s="35">
        <v>0</v>
      </c>
      <c r="C281" s="36">
        <v>0</v>
      </c>
      <c r="D281" s="35">
        <v>0</v>
      </c>
      <c r="E281" s="36">
        <v>0</v>
      </c>
      <c r="F281" s="36">
        <v>0</v>
      </c>
      <c r="G281" s="35">
        <v>0</v>
      </c>
      <c r="H281" s="36">
        <v>0</v>
      </c>
      <c r="I281" s="35">
        <v>0</v>
      </c>
      <c r="J281" s="36">
        <v>0</v>
      </c>
      <c r="K281" s="36">
        <v>0</v>
      </c>
      <c r="L281" s="35">
        <v>0</v>
      </c>
      <c r="M281" s="36">
        <v>0</v>
      </c>
      <c r="N281" s="35">
        <v>0</v>
      </c>
      <c r="O281" s="35">
        <v>0</v>
      </c>
      <c r="P281" s="35">
        <v>0</v>
      </c>
      <c r="Q281" s="36">
        <v>0</v>
      </c>
      <c r="R281" s="35">
        <v>0</v>
      </c>
      <c r="S281" s="35">
        <v>0</v>
      </c>
      <c r="T281" s="36">
        <v>0</v>
      </c>
      <c r="U281" s="35">
        <v>0</v>
      </c>
      <c r="V281" s="36">
        <v>0</v>
      </c>
      <c r="W281" s="36">
        <v>0</v>
      </c>
      <c r="X281" s="35">
        <v>0</v>
      </c>
      <c r="Y281" s="36">
        <v>0</v>
      </c>
      <c r="Z281" s="35">
        <v>0</v>
      </c>
      <c r="AA281" s="36">
        <v>0</v>
      </c>
      <c r="AB281" s="36">
        <v>0</v>
      </c>
      <c r="AC281" s="35">
        <v>0</v>
      </c>
    </row>
    <row r="282" spans="1:29" x14ac:dyDescent="0.3">
      <c r="A282" s="27" t="s">
        <v>378</v>
      </c>
      <c r="B282" s="35">
        <v>0</v>
      </c>
      <c r="C282" s="36">
        <v>0</v>
      </c>
      <c r="D282" s="35">
        <v>0</v>
      </c>
      <c r="E282" s="36">
        <v>0</v>
      </c>
      <c r="F282" s="36">
        <v>0</v>
      </c>
      <c r="G282" s="35">
        <v>0</v>
      </c>
      <c r="H282" s="36">
        <v>0</v>
      </c>
      <c r="I282" s="35">
        <v>0</v>
      </c>
      <c r="J282" s="34">
        <v>5</v>
      </c>
      <c r="K282" s="36">
        <v>0</v>
      </c>
      <c r="L282" s="35">
        <v>0</v>
      </c>
      <c r="M282" s="36">
        <v>0</v>
      </c>
      <c r="N282" s="35">
        <v>0</v>
      </c>
      <c r="O282" s="35">
        <v>0</v>
      </c>
      <c r="P282" s="35">
        <v>0</v>
      </c>
      <c r="Q282" s="36">
        <v>0</v>
      </c>
      <c r="R282" s="35">
        <v>0</v>
      </c>
      <c r="S282" s="35">
        <v>0</v>
      </c>
      <c r="T282" s="36">
        <v>0</v>
      </c>
      <c r="U282" s="35">
        <v>0</v>
      </c>
      <c r="V282" s="36">
        <v>0</v>
      </c>
      <c r="W282" s="36">
        <v>0</v>
      </c>
      <c r="X282" s="35">
        <v>0</v>
      </c>
      <c r="Y282" s="36">
        <v>0</v>
      </c>
      <c r="Z282" s="35">
        <v>0</v>
      </c>
      <c r="AA282" s="36">
        <v>0</v>
      </c>
      <c r="AB282" s="36">
        <v>0</v>
      </c>
      <c r="AC282" s="35">
        <v>0</v>
      </c>
    </row>
    <row r="283" spans="1:29" x14ac:dyDescent="0.3">
      <c r="A283" s="21" t="s">
        <v>379</v>
      </c>
      <c r="B283" s="35">
        <v>0</v>
      </c>
      <c r="C283" s="36">
        <v>0</v>
      </c>
      <c r="D283" s="35">
        <v>0</v>
      </c>
      <c r="E283" s="36">
        <v>0</v>
      </c>
      <c r="F283" s="36">
        <v>0</v>
      </c>
      <c r="G283" s="35">
        <v>0</v>
      </c>
      <c r="H283" s="36">
        <v>0</v>
      </c>
      <c r="I283" s="35">
        <v>0</v>
      </c>
      <c r="J283" s="36">
        <v>0</v>
      </c>
      <c r="K283" s="36">
        <v>0</v>
      </c>
      <c r="L283" s="35">
        <v>0</v>
      </c>
      <c r="M283" s="36">
        <v>0</v>
      </c>
      <c r="N283" s="35">
        <v>0</v>
      </c>
      <c r="O283" s="35">
        <v>0</v>
      </c>
      <c r="P283" s="35">
        <v>0</v>
      </c>
      <c r="Q283" s="36">
        <v>0</v>
      </c>
      <c r="R283" s="35">
        <v>0</v>
      </c>
      <c r="S283" s="35">
        <v>0</v>
      </c>
      <c r="T283" s="36">
        <v>0</v>
      </c>
      <c r="U283" s="35">
        <v>0</v>
      </c>
      <c r="V283" s="36">
        <v>0</v>
      </c>
      <c r="W283" s="36">
        <v>0</v>
      </c>
      <c r="X283" s="35">
        <v>0</v>
      </c>
      <c r="Y283" s="36">
        <v>0</v>
      </c>
      <c r="Z283" s="35">
        <v>0</v>
      </c>
      <c r="AA283" s="36">
        <v>0</v>
      </c>
      <c r="AB283" s="36">
        <v>0</v>
      </c>
      <c r="AC283" s="35">
        <v>0</v>
      </c>
    </row>
    <row r="284" spans="1:29" x14ac:dyDescent="0.3">
      <c r="A284" s="27" t="s">
        <v>380</v>
      </c>
      <c r="B284" s="35">
        <v>0</v>
      </c>
      <c r="C284" s="36">
        <v>0</v>
      </c>
      <c r="D284" s="35">
        <v>0</v>
      </c>
      <c r="E284" s="36">
        <v>0</v>
      </c>
      <c r="F284" s="36">
        <v>0</v>
      </c>
      <c r="G284" s="35">
        <v>0</v>
      </c>
      <c r="H284" s="36">
        <v>0</v>
      </c>
      <c r="I284" s="35">
        <v>0</v>
      </c>
      <c r="J284" s="36">
        <v>0</v>
      </c>
      <c r="K284" s="36">
        <v>0</v>
      </c>
      <c r="L284" s="35">
        <v>0</v>
      </c>
      <c r="M284" s="36">
        <v>0</v>
      </c>
      <c r="N284" s="35">
        <v>0</v>
      </c>
      <c r="O284" s="35">
        <v>0</v>
      </c>
      <c r="P284" s="35">
        <v>0</v>
      </c>
      <c r="Q284" s="36">
        <v>0</v>
      </c>
      <c r="R284" s="35">
        <v>0</v>
      </c>
      <c r="S284" s="35">
        <v>0</v>
      </c>
      <c r="T284" s="36">
        <v>0</v>
      </c>
      <c r="U284" s="35">
        <v>0</v>
      </c>
      <c r="V284" s="34">
        <v>1</v>
      </c>
      <c r="W284" s="36">
        <v>0</v>
      </c>
      <c r="X284" s="35">
        <v>0</v>
      </c>
      <c r="Y284" s="34">
        <v>1</v>
      </c>
      <c r="Z284" s="29">
        <v>3</v>
      </c>
      <c r="AA284" s="36">
        <v>0</v>
      </c>
      <c r="AB284" s="36">
        <v>0</v>
      </c>
      <c r="AC284" s="35">
        <v>0</v>
      </c>
    </row>
    <row r="285" spans="1:29" x14ac:dyDescent="0.3">
      <c r="A285" s="21" t="s">
        <v>381</v>
      </c>
      <c r="B285" s="35">
        <v>0</v>
      </c>
      <c r="C285" s="36">
        <v>0</v>
      </c>
      <c r="D285" s="35">
        <v>0</v>
      </c>
      <c r="E285" s="36">
        <v>0</v>
      </c>
      <c r="F285" s="36">
        <v>0</v>
      </c>
      <c r="G285" s="35">
        <v>0</v>
      </c>
      <c r="H285" s="36">
        <v>0</v>
      </c>
      <c r="I285" s="35">
        <v>0</v>
      </c>
      <c r="J285" s="36">
        <v>0</v>
      </c>
      <c r="K285" s="36">
        <v>0</v>
      </c>
      <c r="L285" s="35">
        <v>0</v>
      </c>
      <c r="M285" s="36">
        <v>0</v>
      </c>
      <c r="N285" s="35">
        <v>0</v>
      </c>
      <c r="O285" s="35">
        <v>0</v>
      </c>
      <c r="P285" s="35">
        <v>0</v>
      </c>
      <c r="Q285" s="36">
        <v>0</v>
      </c>
      <c r="R285" s="35">
        <v>0</v>
      </c>
      <c r="S285" s="35">
        <v>0</v>
      </c>
      <c r="T285" s="36">
        <v>0</v>
      </c>
      <c r="U285" s="35">
        <v>0</v>
      </c>
      <c r="V285" s="36">
        <v>0</v>
      </c>
      <c r="W285" s="36">
        <v>0</v>
      </c>
      <c r="X285" s="35">
        <v>0</v>
      </c>
      <c r="Y285" s="36">
        <v>0</v>
      </c>
      <c r="Z285" s="35">
        <v>0</v>
      </c>
      <c r="AA285" s="36">
        <v>0</v>
      </c>
      <c r="AB285" s="36">
        <v>0</v>
      </c>
      <c r="AC285" s="35">
        <v>0</v>
      </c>
    </row>
    <row r="286" spans="1:29" x14ac:dyDescent="0.3">
      <c r="A286" s="27" t="s">
        <v>382</v>
      </c>
      <c r="B286" s="35">
        <v>0</v>
      </c>
      <c r="C286" s="34">
        <v>1</v>
      </c>
      <c r="D286" s="29">
        <v>2</v>
      </c>
      <c r="E286" s="34">
        <v>7</v>
      </c>
      <c r="F286" s="36">
        <v>0</v>
      </c>
      <c r="G286" s="29">
        <v>2</v>
      </c>
      <c r="H286" s="34">
        <v>2</v>
      </c>
      <c r="I286" s="29">
        <v>5</v>
      </c>
      <c r="J286" s="34">
        <v>9</v>
      </c>
      <c r="K286" s="34">
        <v>1</v>
      </c>
      <c r="L286" s="29">
        <v>3</v>
      </c>
      <c r="M286" s="36">
        <v>0</v>
      </c>
      <c r="N286" s="29">
        <v>2</v>
      </c>
      <c r="O286" s="29">
        <v>1</v>
      </c>
      <c r="P286" s="35">
        <v>0</v>
      </c>
      <c r="Q286" s="34">
        <v>1</v>
      </c>
      <c r="R286" s="35">
        <v>0</v>
      </c>
      <c r="S286" s="35">
        <v>0</v>
      </c>
      <c r="T286" s="34">
        <v>2</v>
      </c>
      <c r="U286" s="35">
        <v>0</v>
      </c>
      <c r="V286" s="36">
        <v>0</v>
      </c>
      <c r="W286" s="34">
        <v>1</v>
      </c>
      <c r="X286" s="35">
        <v>0</v>
      </c>
      <c r="Y286" s="34">
        <v>1</v>
      </c>
      <c r="Z286" s="29">
        <v>2</v>
      </c>
      <c r="AA286" s="36">
        <v>0</v>
      </c>
      <c r="AB286" s="36">
        <v>0</v>
      </c>
      <c r="AC286" s="29">
        <v>1</v>
      </c>
    </row>
    <row r="287" spans="1:29" x14ac:dyDescent="0.3">
      <c r="A287" s="27" t="s">
        <v>383</v>
      </c>
      <c r="B287" s="29">
        <v>1</v>
      </c>
      <c r="C287" s="36">
        <v>0</v>
      </c>
      <c r="D287" s="35">
        <v>0</v>
      </c>
      <c r="E287" s="36">
        <v>0</v>
      </c>
      <c r="F287" s="36">
        <v>0</v>
      </c>
      <c r="G287" s="35">
        <v>0</v>
      </c>
      <c r="H287" s="36">
        <v>0</v>
      </c>
      <c r="I287" s="35">
        <v>0</v>
      </c>
      <c r="J287" s="36">
        <v>0</v>
      </c>
      <c r="K287" s="36">
        <v>0</v>
      </c>
      <c r="L287" s="29">
        <v>3</v>
      </c>
      <c r="M287" s="36">
        <v>0</v>
      </c>
      <c r="N287" s="35">
        <v>0</v>
      </c>
      <c r="O287" s="35">
        <v>0</v>
      </c>
      <c r="P287" s="35">
        <v>0</v>
      </c>
      <c r="Q287" s="36">
        <v>0</v>
      </c>
      <c r="R287" s="35">
        <v>0</v>
      </c>
      <c r="S287" s="35">
        <v>0</v>
      </c>
      <c r="T287" s="36">
        <v>0</v>
      </c>
      <c r="U287" s="35">
        <v>0</v>
      </c>
      <c r="V287" s="36">
        <v>0</v>
      </c>
      <c r="W287" s="36">
        <v>0</v>
      </c>
      <c r="X287" s="35">
        <v>0</v>
      </c>
      <c r="Y287" s="36">
        <v>0</v>
      </c>
      <c r="Z287" s="35">
        <v>0</v>
      </c>
      <c r="AA287" s="36">
        <v>0</v>
      </c>
      <c r="AB287" s="36">
        <v>0</v>
      </c>
      <c r="AC287" s="35">
        <v>0</v>
      </c>
    </row>
    <row r="288" spans="1:29" x14ac:dyDescent="0.3">
      <c r="A288" s="21" t="s">
        <v>384</v>
      </c>
      <c r="B288" s="35">
        <v>0</v>
      </c>
      <c r="C288" s="36">
        <v>0</v>
      </c>
      <c r="D288" s="35">
        <v>0</v>
      </c>
      <c r="E288" s="36">
        <v>0</v>
      </c>
      <c r="F288" s="36">
        <v>0</v>
      </c>
      <c r="G288" s="35">
        <v>0</v>
      </c>
      <c r="H288" s="36">
        <v>0</v>
      </c>
      <c r="I288" s="35">
        <v>0</v>
      </c>
      <c r="J288" s="36">
        <v>0</v>
      </c>
      <c r="K288" s="36">
        <v>0</v>
      </c>
      <c r="L288" s="35">
        <v>0</v>
      </c>
      <c r="M288" s="36">
        <v>0</v>
      </c>
      <c r="N288" s="35">
        <v>0</v>
      </c>
      <c r="O288" s="35">
        <v>0</v>
      </c>
      <c r="P288" s="35">
        <v>0</v>
      </c>
      <c r="Q288" s="36">
        <v>0</v>
      </c>
      <c r="R288" s="35">
        <v>0</v>
      </c>
      <c r="S288" s="35">
        <v>0</v>
      </c>
      <c r="T288" s="36">
        <v>0</v>
      </c>
      <c r="U288" s="35">
        <v>0</v>
      </c>
      <c r="V288" s="36">
        <v>0</v>
      </c>
      <c r="W288" s="36">
        <v>0</v>
      </c>
      <c r="X288" s="35">
        <v>0</v>
      </c>
      <c r="Y288" s="36">
        <v>0</v>
      </c>
      <c r="Z288" s="35">
        <v>0</v>
      </c>
      <c r="AA288" s="36">
        <v>0</v>
      </c>
      <c r="AB288" s="36">
        <v>0</v>
      </c>
      <c r="AC288" s="35">
        <v>0</v>
      </c>
    </row>
    <row r="289" spans="1:29" x14ac:dyDescent="0.3">
      <c r="A289" s="27" t="s">
        <v>385</v>
      </c>
      <c r="B289" s="35">
        <v>0</v>
      </c>
      <c r="C289" s="36">
        <v>0</v>
      </c>
      <c r="D289" s="29">
        <v>1</v>
      </c>
      <c r="E289" s="36">
        <v>0</v>
      </c>
      <c r="F289" s="34">
        <v>2</v>
      </c>
      <c r="G289" s="35">
        <v>0</v>
      </c>
      <c r="H289" s="34">
        <v>2</v>
      </c>
      <c r="I289" s="29">
        <v>2</v>
      </c>
      <c r="J289" s="34">
        <v>2</v>
      </c>
      <c r="K289" s="36">
        <v>0</v>
      </c>
      <c r="L289" s="35">
        <v>0</v>
      </c>
      <c r="M289" s="34">
        <v>1</v>
      </c>
      <c r="N289" s="29">
        <v>15</v>
      </c>
      <c r="O289" s="29">
        <v>1</v>
      </c>
      <c r="P289" s="29">
        <v>3</v>
      </c>
      <c r="Q289" s="36">
        <v>0</v>
      </c>
      <c r="R289" s="35">
        <v>0</v>
      </c>
      <c r="S289" s="29">
        <v>2</v>
      </c>
      <c r="T289" s="36">
        <v>0</v>
      </c>
      <c r="U289" s="29">
        <v>3</v>
      </c>
      <c r="V289" s="34">
        <v>4</v>
      </c>
      <c r="W289" s="34">
        <v>5</v>
      </c>
      <c r="X289" s="29">
        <v>1</v>
      </c>
      <c r="Y289" s="36">
        <v>0</v>
      </c>
      <c r="Z289" s="29">
        <v>1</v>
      </c>
      <c r="AA289" s="36">
        <v>0</v>
      </c>
      <c r="AB289" s="34">
        <v>3</v>
      </c>
      <c r="AC289" s="35">
        <v>0</v>
      </c>
    </row>
    <row r="290" spans="1:29" x14ac:dyDescent="0.3">
      <c r="A290" s="21" t="s">
        <v>386</v>
      </c>
      <c r="B290" s="35">
        <v>0</v>
      </c>
      <c r="C290" s="36">
        <v>0</v>
      </c>
      <c r="D290" s="35">
        <v>0</v>
      </c>
      <c r="E290" s="36">
        <v>0</v>
      </c>
      <c r="F290" s="36">
        <v>0</v>
      </c>
      <c r="G290" s="35">
        <v>0</v>
      </c>
      <c r="H290" s="36">
        <v>0</v>
      </c>
      <c r="I290" s="35">
        <v>0</v>
      </c>
      <c r="J290" s="36">
        <v>0</v>
      </c>
      <c r="K290" s="36">
        <v>0</v>
      </c>
      <c r="L290" s="35">
        <v>0</v>
      </c>
      <c r="M290" s="36">
        <v>0</v>
      </c>
      <c r="N290" s="35">
        <v>0</v>
      </c>
      <c r="O290" s="35">
        <v>0</v>
      </c>
      <c r="P290" s="35">
        <v>0</v>
      </c>
      <c r="Q290" s="36">
        <v>0</v>
      </c>
      <c r="R290" s="35">
        <v>0</v>
      </c>
      <c r="S290" s="35">
        <v>0</v>
      </c>
      <c r="T290" s="36">
        <v>0</v>
      </c>
      <c r="U290" s="35">
        <v>0</v>
      </c>
      <c r="V290" s="36">
        <v>0</v>
      </c>
      <c r="W290" s="36">
        <v>0</v>
      </c>
      <c r="X290" s="35">
        <v>0</v>
      </c>
      <c r="Y290" s="36">
        <v>0</v>
      </c>
      <c r="Z290" s="35">
        <v>0</v>
      </c>
      <c r="AA290" s="36">
        <v>0</v>
      </c>
      <c r="AB290" s="36">
        <v>0</v>
      </c>
      <c r="AC290" s="35">
        <v>0</v>
      </c>
    </row>
    <row r="291" spans="1:29" x14ac:dyDescent="0.3">
      <c r="A291" s="27" t="s">
        <v>387</v>
      </c>
      <c r="B291" s="35">
        <v>0</v>
      </c>
      <c r="C291" s="36">
        <v>0</v>
      </c>
      <c r="D291" s="35">
        <v>0</v>
      </c>
      <c r="E291" s="36">
        <v>0</v>
      </c>
      <c r="F291" s="36">
        <v>0</v>
      </c>
      <c r="G291" s="35">
        <v>0</v>
      </c>
      <c r="H291" s="36">
        <v>0</v>
      </c>
      <c r="I291" s="35">
        <v>0</v>
      </c>
      <c r="J291" s="36">
        <v>0</v>
      </c>
      <c r="K291" s="36">
        <v>0</v>
      </c>
      <c r="L291" s="35">
        <v>0</v>
      </c>
      <c r="M291" s="36">
        <v>0</v>
      </c>
      <c r="N291" s="35">
        <v>0</v>
      </c>
      <c r="O291" s="35">
        <v>0</v>
      </c>
      <c r="P291" s="35">
        <v>0</v>
      </c>
      <c r="Q291" s="36">
        <v>0</v>
      </c>
      <c r="R291" s="35">
        <v>0</v>
      </c>
      <c r="S291" s="35">
        <v>0</v>
      </c>
      <c r="T291" s="36">
        <v>0</v>
      </c>
      <c r="U291" s="35">
        <v>0</v>
      </c>
      <c r="V291" s="36">
        <v>0</v>
      </c>
      <c r="W291" s="36">
        <v>0</v>
      </c>
      <c r="X291" s="35">
        <v>0</v>
      </c>
      <c r="Y291" s="36">
        <v>0</v>
      </c>
      <c r="Z291" s="35">
        <v>0</v>
      </c>
      <c r="AA291" s="36">
        <v>0</v>
      </c>
      <c r="AB291" s="36">
        <v>0</v>
      </c>
      <c r="AC291" s="35">
        <v>0</v>
      </c>
    </row>
    <row r="292" spans="1:29" x14ac:dyDescent="0.3">
      <c r="A292" s="21" t="s">
        <v>388</v>
      </c>
      <c r="B292" s="35">
        <v>0</v>
      </c>
      <c r="C292" s="36">
        <v>0</v>
      </c>
      <c r="D292" s="35">
        <v>0</v>
      </c>
      <c r="E292" s="36">
        <v>0</v>
      </c>
      <c r="F292" s="36">
        <v>0</v>
      </c>
      <c r="G292" s="35">
        <v>0</v>
      </c>
      <c r="H292" s="36">
        <v>0</v>
      </c>
      <c r="I292" s="35">
        <v>0</v>
      </c>
      <c r="J292" s="36">
        <v>0</v>
      </c>
      <c r="K292" s="36">
        <v>0</v>
      </c>
      <c r="L292" s="35">
        <v>0</v>
      </c>
      <c r="M292" s="36">
        <v>0</v>
      </c>
      <c r="N292" s="35">
        <v>0</v>
      </c>
      <c r="O292" s="35">
        <v>0</v>
      </c>
      <c r="P292" s="35">
        <v>0</v>
      </c>
      <c r="Q292" s="36">
        <v>0</v>
      </c>
      <c r="R292" s="35">
        <v>0</v>
      </c>
      <c r="S292" s="35">
        <v>0</v>
      </c>
      <c r="T292" s="36">
        <v>0</v>
      </c>
      <c r="U292" s="35">
        <v>0</v>
      </c>
      <c r="V292" s="36">
        <v>0</v>
      </c>
      <c r="W292" s="36">
        <v>0</v>
      </c>
      <c r="X292" s="35">
        <v>0</v>
      </c>
      <c r="Y292" s="36">
        <v>0</v>
      </c>
      <c r="Z292" s="35">
        <v>0</v>
      </c>
      <c r="AA292" s="36">
        <v>0</v>
      </c>
      <c r="AB292" s="36">
        <v>0</v>
      </c>
      <c r="AC292" s="35">
        <v>0</v>
      </c>
    </row>
    <row r="293" spans="1:29" x14ac:dyDescent="0.3">
      <c r="A293" s="27" t="s">
        <v>389</v>
      </c>
      <c r="B293" s="35">
        <v>0</v>
      </c>
      <c r="C293" s="36">
        <v>0</v>
      </c>
      <c r="D293" s="35">
        <v>0</v>
      </c>
      <c r="E293" s="36">
        <v>0</v>
      </c>
      <c r="F293" s="36">
        <v>0</v>
      </c>
      <c r="G293" s="35">
        <v>0</v>
      </c>
      <c r="H293" s="36">
        <v>0</v>
      </c>
      <c r="I293" s="35">
        <v>0</v>
      </c>
      <c r="J293" s="36">
        <v>0</v>
      </c>
      <c r="K293" s="36">
        <v>0</v>
      </c>
      <c r="L293" s="35">
        <v>0</v>
      </c>
      <c r="M293" s="36">
        <v>0</v>
      </c>
      <c r="N293" s="35">
        <v>0</v>
      </c>
      <c r="O293" s="35">
        <v>0</v>
      </c>
      <c r="P293" s="35">
        <v>0</v>
      </c>
      <c r="Q293" s="36">
        <v>0</v>
      </c>
      <c r="R293" s="35">
        <v>0</v>
      </c>
      <c r="S293" s="35">
        <v>0</v>
      </c>
      <c r="T293" s="36">
        <v>0</v>
      </c>
      <c r="U293" s="35">
        <v>0</v>
      </c>
      <c r="V293" s="36">
        <v>0</v>
      </c>
      <c r="W293" s="36">
        <v>0</v>
      </c>
      <c r="X293" s="35">
        <v>0</v>
      </c>
      <c r="Y293" s="36">
        <v>0</v>
      </c>
      <c r="Z293" s="35">
        <v>0</v>
      </c>
      <c r="AA293" s="36">
        <v>0</v>
      </c>
      <c r="AB293" s="36">
        <v>0</v>
      </c>
      <c r="AC293" s="35">
        <v>0</v>
      </c>
    </row>
    <row r="294" spans="1:29" x14ac:dyDescent="0.3">
      <c r="A294" s="21" t="s">
        <v>390</v>
      </c>
      <c r="B294" s="35">
        <v>0</v>
      </c>
      <c r="C294" s="36">
        <v>0</v>
      </c>
      <c r="D294" s="35">
        <v>0</v>
      </c>
      <c r="E294" s="36">
        <v>0</v>
      </c>
      <c r="F294" s="36">
        <v>0</v>
      </c>
      <c r="G294" s="35">
        <v>0</v>
      </c>
      <c r="H294" s="36">
        <v>0</v>
      </c>
      <c r="I294" s="35">
        <v>0</v>
      </c>
      <c r="J294" s="36">
        <v>0</v>
      </c>
      <c r="K294" s="36">
        <v>0</v>
      </c>
      <c r="L294" s="35">
        <v>0</v>
      </c>
      <c r="M294" s="36">
        <v>0</v>
      </c>
      <c r="N294" s="35">
        <v>0</v>
      </c>
      <c r="O294" s="35">
        <v>0</v>
      </c>
      <c r="P294" s="35">
        <v>0</v>
      </c>
      <c r="Q294" s="36">
        <v>0</v>
      </c>
      <c r="R294" s="35">
        <v>0</v>
      </c>
      <c r="S294" s="35">
        <v>0</v>
      </c>
      <c r="T294" s="36">
        <v>0</v>
      </c>
      <c r="U294" s="35">
        <v>0</v>
      </c>
      <c r="V294" s="36">
        <v>0</v>
      </c>
      <c r="W294" s="36">
        <v>0</v>
      </c>
      <c r="X294" s="35">
        <v>0</v>
      </c>
      <c r="Y294" s="36">
        <v>0</v>
      </c>
      <c r="Z294" s="35">
        <v>0</v>
      </c>
      <c r="AA294" s="36">
        <v>0</v>
      </c>
      <c r="AB294" s="36">
        <v>0</v>
      </c>
      <c r="AC294" s="35">
        <v>0</v>
      </c>
    </row>
    <row r="295" spans="1:29" x14ac:dyDescent="0.3">
      <c r="A295" s="27" t="s">
        <v>391</v>
      </c>
      <c r="B295" s="35">
        <v>0</v>
      </c>
      <c r="C295" s="36">
        <v>0</v>
      </c>
      <c r="D295" s="35">
        <v>0</v>
      </c>
      <c r="E295" s="34">
        <v>12</v>
      </c>
      <c r="F295" s="34">
        <v>6</v>
      </c>
      <c r="G295" s="29">
        <v>2</v>
      </c>
      <c r="H295" s="34">
        <v>2</v>
      </c>
      <c r="I295" s="29">
        <v>1</v>
      </c>
      <c r="J295" s="34">
        <v>3</v>
      </c>
      <c r="K295" s="34">
        <v>3</v>
      </c>
      <c r="L295" s="35">
        <v>0</v>
      </c>
      <c r="M295" s="34">
        <v>1</v>
      </c>
      <c r="N295" s="29">
        <v>1</v>
      </c>
      <c r="O295" s="29">
        <v>1</v>
      </c>
      <c r="P295" s="35">
        <v>0</v>
      </c>
      <c r="Q295" s="36">
        <v>0</v>
      </c>
      <c r="R295" s="35">
        <v>0</v>
      </c>
      <c r="S295" s="29">
        <v>1</v>
      </c>
      <c r="T295" s="34">
        <v>23</v>
      </c>
      <c r="U295" s="29">
        <v>5</v>
      </c>
      <c r="V295" s="34">
        <v>12</v>
      </c>
      <c r="W295" s="36">
        <v>0</v>
      </c>
      <c r="X295" s="35">
        <v>0</v>
      </c>
      <c r="Y295" s="34">
        <v>13</v>
      </c>
      <c r="Z295" s="29">
        <v>6</v>
      </c>
      <c r="AA295" s="36">
        <v>0</v>
      </c>
      <c r="AB295" s="34">
        <v>13</v>
      </c>
      <c r="AC295" s="29">
        <v>7</v>
      </c>
    </row>
    <row r="296" spans="1:29" x14ac:dyDescent="0.3">
      <c r="A296" s="27" t="s">
        <v>392</v>
      </c>
      <c r="B296" s="35">
        <v>0</v>
      </c>
      <c r="C296" s="36">
        <v>0</v>
      </c>
      <c r="D296" s="29">
        <v>1</v>
      </c>
      <c r="E296" s="36">
        <v>0</v>
      </c>
      <c r="F296" s="36">
        <v>0</v>
      </c>
      <c r="G296" s="35">
        <v>0</v>
      </c>
      <c r="H296" s="34">
        <v>1</v>
      </c>
      <c r="I296" s="29">
        <v>1</v>
      </c>
      <c r="J296" s="36">
        <v>0</v>
      </c>
      <c r="K296" s="34">
        <v>1</v>
      </c>
      <c r="L296" s="35">
        <v>0</v>
      </c>
      <c r="M296" s="36">
        <v>0</v>
      </c>
      <c r="N296" s="35">
        <v>0</v>
      </c>
      <c r="O296" s="35">
        <v>0</v>
      </c>
      <c r="P296" s="35">
        <v>0</v>
      </c>
      <c r="Q296" s="36">
        <v>0</v>
      </c>
      <c r="R296" s="35">
        <v>0</v>
      </c>
      <c r="S296" s="35">
        <v>0</v>
      </c>
      <c r="T296" s="36">
        <v>0</v>
      </c>
      <c r="U296" s="29">
        <v>1</v>
      </c>
      <c r="V296" s="34">
        <v>1</v>
      </c>
      <c r="W296" s="36">
        <v>0</v>
      </c>
      <c r="X296" s="35">
        <v>0</v>
      </c>
      <c r="Y296" s="36">
        <v>0</v>
      </c>
      <c r="Z296" s="35">
        <v>0</v>
      </c>
      <c r="AA296" s="36">
        <v>0</v>
      </c>
      <c r="AB296" s="36">
        <v>0</v>
      </c>
      <c r="AC296" s="29">
        <v>1</v>
      </c>
    </row>
    <row r="297" spans="1:29" x14ac:dyDescent="0.3">
      <c r="A297" s="21" t="s">
        <v>393</v>
      </c>
      <c r="B297" s="35">
        <v>0</v>
      </c>
      <c r="C297" s="36">
        <v>0</v>
      </c>
      <c r="D297" s="35">
        <v>0</v>
      </c>
      <c r="E297" s="36">
        <v>0</v>
      </c>
      <c r="F297" s="36">
        <v>0</v>
      </c>
      <c r="G297" s="35">
        <v>0</v>
      </c>
      <c r="H297" s="36">
        <v>0</v>
      </c>
      <c r="I297" s="35">
        <v>0</v>
      </c>
      <c r="J297" s="36">
        <v>0</v>
      </c>
      <c r="K297" s="36">
        <v>0</v>
      </c>
      <c r="L297" s="35">
        <v>0</v>
      </c>
      <c r="M297" s="36">
        <v>0</v>
      </c>
      <c r="N297" s="35">
        <v>0</v>
      </c>
      <c r="O297" s="35">
        <v>0</v>
      </c>
      <c r="P297" s="35">
        <v>0</v>
      </c>
      <c r="Q297" s="36">
        <v>0</v>
      </c>
      <c r="R297" s="35">
        <v>0</v>
      </c>
      <c r="S297" s="35">
        <v>0</v>
      </c>
      <c r="T297" s="36">
        <v>0</v>
      </c>
      <c r="U297" s="35">
        <v>0</v>
      </c>
      <c r="V297" s="36">
        <v>0</v>
      </c>
      <c r="W297" s="36">
        <v>0</v>
      </c>
      <c r="X297" s="35">
        <v>0</v>
      </c>
      <c r="Y297" s="36">
        <v>0</v>
      </c>
      <c r="Z297" s="35">
        <v>0</v>
      </c>
      <c r="AA297" s="36">
        <v>0</v>
      </c>
      <c r="AB297" s="36">
        <v>0</v>
      </c>
      <c r="AC297" s="35">
        <v>0</v>
      </c>
    </row>
    <row r="298" spans="1:29" x14ac:dyDescent="0.3">
      <c r="A298" s="27" t="s">
        <v>394</v>
      </c>
      <c r="B298" s="35">
        <v>0</v>
      </c>
      <c r="C298" s="36">
        <v>0</v>
      </c>
      <c r="D298" s="35">
        <v>0</v>
      </c>
      <c r="E298" s="36">
        <v>0</v>
      </c>
      <c r="F298" s="36">
        <v>0</v>
      </c>
      <c r="G298" s="35">
        <v>0</v>
      </c>
      <c r="H298" s="36">
        <v>0</v>
      </c>
      <c r="I298" s="35">
        <v>0</v>
      </c>
      <c r="J298" s="36">
        <v>0</v>
      </c>
      <c r="K298" s="36">
        <v>0</v>
      </c>
      <c r="L298" s="35">
        <v>0</v>
      </c>
      <c r="M298" s="36">
        <v>0</v>
      </c>
      <c r="N298" s="35">
        <v>0</v>
      </c>
      <c r="O298" s="35">
        <v>0</v>
      </c>
      <c r="P298" s="35">
        <v>0</v>
      </c>
      <c r="Q298" s="36">
        <v>0</v>
      </c>
      <c r="R298" s="35">
        <v>0</v>
      </c>
      <c r="S298" s="35">
        <v>0</v>
      </c>
      <c r="T298" s="34">
        <v>1</v>
      </c>
      <c r="U298" s="35">
        <v>0</v>
      </c>
      <c r="V298" s="34">
        <v>1</v>
      </c>
      <c r="W298" s="36">
        <v>0</v>
      </c>
      <c r="X298" s="29">
        <v>1</v>
      </c>
      <c r="Y298" s="36">
        <v>0</v>
      </c>
      <c r="Z298" s="35">
        <v>0</v>
      </c>
      <c r="AA298" s="36">
        <v>0</v>
      </c>
      <c r="AB298" s="36">
        <v>0</v>
      </c>
      <c r="AC298" s="35">
        <v>0</v>
      </c>
    </row>
    <row r="299" spans="1:29" x14ac:dyDescent="0.3">
      <c r="A299" s="27" t="s">
        <v>395</v>
      </c>
      <c r="B299" s="29">
        <v>14</v>
      </c>
      <c r="C299" s="34">
        <v>5</v>
      </c>
      <c r="D299" s="29">
        <v>8</v>
      </c>
      <c r="E299" s="34">
        <v>14</v>
      </c>
      <c r="F299" s="34">
        <v>12</v>
      </c>
      <c r="G299" s="29">
        <v>13</v>
      </c>
      <c r="H299" s="34">
        <v>24</v>
      </c>
      <c r="I299" s="29">
        <v>13</v>
      </c>
      <c r="J299" s="34">
        <v>20</v>
      </c>
      <c r="K299" s="34">
        <v>11</v>
      </c>
      <c r="L299" s="29">
        <v>8</v>
      </c>
      <c r="M299" s="36">
        <v>0</v>
      </c>
      <c r="N299" s="29">
        <v>10</v>
      </c>
      <c r="O299" s="29">
        <v>5</v>
      </c>
      <c r="P299" s="29">
        <v>12</v>
      </c>
      <c r="Q299" s="34">
        <v>2</v>
      </c>
      <c r="R299" s="29">
        <v>1</v>
      </c>
      <c r="S299" s="29">
        <v>14</v>
      </c>
      <c r="T299" s="34">
        <v>24</v>
      </c>
      <c r="U299" s="29">
        <v>13</v>
      </c>
      <c r="V299" s="34">
        <v>15</v>
      </c>
      <c r="W299" s="34">
        <v>13</v>
      </c>
      <c r="X299" s="29">
        <v>5</v>
      </c>
      <c r="Y299" s="34">
        <v>13</v>
      </c>
      <c r="Z299" s="29">
        <v>23</v>
      </c>
      <c r="AA299" s="36">
        <v>0</v>
      </c>
      <c r="AB299" s="34">
        <v>18</v>
      </c>
      <c r="AC299" s="29">
        <v>21</v>
      </c>
    </row>
    <row r="300" spans="1:29" x14ac:dyDescent="0.3">
      <c r="A300" s="21" t="s">
        <v>119</v>
      </c>
      <c r="B300" s="35">
        <v>0</v>
      </c>
      <c r="C300" s="36">
        <v>0</v>
      </c>
      <c r="D300" s="35">
        <v>0</v>
      </c>
      <c r="E300" s="36">
        <v>0</v>
      </c>
      <c r="F300" s="36">
        <v>0</v>
      </c>
      <c r="G300" s="35">
        <v>0</v>
      </c>
      <c r="H300" s="36">
        <v>0</v>
      </c>
      <c r="I300" s="35">
        <v>0</v>
      </c>
      <c r="J300" s="36">
        <v>0</v>
      </c>
      <c r="K300" s="36">
        <v>0</v>
      </c>
      <c r="L300" s="35">
        <v>0</v>
      </c>
      <c r="M300" s="36">
        <v>0</v>
      </c>
      <c r="N300" s="35">
        <v>0</v>
      </c>
      <c r="O300" s="35">
        <v>0</v>
      </c>
      <c r="P300" s="35">
        <v>0</v>
      </c>
      <c r="Q300" s="36">
        <v>0</v>
      </c>
      <c r="R300" s="35">
        <v>0</v>
      </c>
      <c r="S300" s="35">
        <v>0</v>
      </c>
      <c r="T300" s="36">
        <v>0</v>
      </c>
      <c r="U300" s="35">
        <v>0</v>
      </c>
      <c r="V300" s="36">
        <v>0</v>
      </c>
      <c r="W300" s="36">
        <v>0</v>
      </c>
      <c r="X300" s="35">
        <v>0</v>
      </c>
      <c r="Y300" s="36">
        <v>0</v>
      </c>
      <c r="Z300" s="35">
        <v>0</v>
      </c>
      <c r="AA300" s="36">
        <v>0</v>
      </c>
      <c r="AB300" s="36">
        <v>0</v>
      </c>
      <c r="AC300" s="35">
        <v>0</v>
      </c>
    </row>
    <row r="301" spans="1:29" x14ac:dyDescent="0.3">
      <c r="A301" s="21" t="s">
        <v>396</v>
      </c>
      <c r="B301" s="35">
        <v>0</v>
      </c>
      <c r="C301" s="36">
        <v>0</v>
      </c>
      <c r="D301" s="35">
        <v>0</v>
      </c>
      <c r="E301" s="36">
        <v>0</v>
      </c>
      <c r="F301" s="36">
        <v>0</v>
      </c>
      <c r="G301" s="35">
        <v>0</v>
      </c>
      <c r="H301" s="36">
        <v>0</v>
      </c>
      <c r="I301" s="35">
        <v>0</v>
      </c>
      <c r="J301" s="36">
        <v>0</v>
      </c>
      <c r="K301" s="36">
        <v>0</v>
      </c>
      <c r="L301" s="35">
        <v>0</v>
      </c>
      <c r="M301" s="36">
        <v>0</v>
      </c>
      <c r="N301" s="35">
        <v>0</v>
      </c>
      <c r="O301" s="35">
        <v>0</v>
      </c>
      <c r="P301" s="35">
        <v>0</v>
      </c>
      <c r="Q301" s="36">
        <v>0</v>
      </c>
      <c r="R301" s="35">
        <v>0</v>
      </c>
      <c r="S301" s="35">
        <v>0</v>
      </c>
      <c r="T301" s="36">
        <v>0</v>
      </c>
      <c r="U301" s="35">
        <v>0</v>
      </c>
      <c r="V301" s="36">
        <v>0</v>
      </c>
      <c r="W301" s="36">
        <v>0</v>
      </c>
      <c r="X301" s="35">
        <v>0</v>
      </c>
      <c r="Y301" s="36">
        <v>0</v>
      </c>
      <c r="Z301" s="35">
        <v>0</v>
      </c>
      <c r="AA301" s="36">
        <v>0</v>
      </c>
      <c r="AB301" s="36">
        <v>0</v>
      </c>
      <c r="AC301" s="35">
        <v>0</v>
      </c>
    </row>
    <row r="302" spans="1:29" x14ac:dyDescent="0.3">
      <c r="A302" s="21" t="s">
        <v>397</v>
      </c>
      <c r="B302" s="35">
        <v>0</v>
      </c>
      <c r="C302" s="36">
        <v>0</v>
      </c>
      <c r="D302" s="35">
        <v>0</v>
      </c>
      <c r="E302" s="34">
        <v>1</v>
      </c>
      <c r="F302" s="36">
        <v>0</v>
      </c>
      <c r="G302" s="35">
        <v>0</v>
      </c>
      <c r="H302" s="34">
        <v>1</v>
      </c>
      <c r="I302" s="35">
        <v>0</v>
      </c>
      <c r="J302" s="34">
        <v>6</v>
      </c>
      <c r="K302" s="36">
        <v>0</v>
      </c>
      <c r="L302" s="35">
        <v>0</v>
      </c>
      <c r="M302" s="36">
        <v>0</v>
      </c>
      <c r="N302" s="29">
        <v>1</v>
      </c>
      <c r="O302" s="35">
        <v>0</v>
      </c>
      <c r="P302" s="35">
        <v>0</v>
      </c>
      <c r="Q302" s="36">
        <v>0</v>
      </c>
      <c r="R302" s="29">
        <v>2</v>
      </c>
      <c r="S302" s="29">
        <v>1</v>
      </c>
      <c r="T302" s="34">
        <v>1</v>
      </c>
      <c r="U302" s="35">
        <v>0</v>
      </c>
      <c r="V302" s="36">
        <v>0</v>
      </c>
      <c r="W302" s="36">
        <v>0</v>
      </c>
      <c r="X302" s="35">
        <v>0</v>
      </c>
      <c r="Y302" s="36">
        <v>0</v>
      </c>
      <c r="Z302" s="35">
        <v>0</v>
      </c>
      <c r="AA302" s="36">
        <v>0</v>
      </c>
      <c r="AB302" s="36">
        <v>0</v>
      </c>
      <c r="AC302" s="35">
        <v>0</v>
      </c>
    </row>
    <row r="303" spans="1:29" x14ac:dyDescent="0.3">
      <c r="A303" s="21" t="s">
        <v>119</v>
      </c>
      <c r="B303" s="35">
        <v>0</v>
      </c>
      <c r="C303" s="36">
        <v>0</v>
      </c>
      <c r="D303" s="35">
        <v>0</v>
      </c>
      <c r="E303" s="36">
        <v>0</v>
      </c>
      <c r="F303" s="36">
        <v>0</v>
      </c>
      <c r="G303" s="35">
        <v>0</v>
      </c>
      <c r="H303" s="36">
        <v>0</v>
      </c>
      <c r="I303" s="35">
        <v>0</v>
      </c>
      <c r="J303" s="36">
        <v>0</v>
      </c>
      <c r="K303" s="36">
        <v>0</v>
      </c>
      <c r="L303" s="35">
        <v>0</v>
      </c>
      <c r="M303" s="36">
        <v>0</v>
      </c>
      <c r="N303" s="35">
        <v>0</v>
      </c>
      <c r="O303" s="35">
        <v>0</v>
      </c>
      <c r="P303" s="35">
        <v>0</v>
      </c>
      <c r="Q303" s="36">
        <v>0</v>
      </c>
      <c r="R303" s="35">
        <v>0</v>
      </c>
      <c r="S303" s="35">
        <v>0</v>
      </c>
      <c r="T303" s="36">
        <v>0</v>
      </c>
      <c r="U303" s="35">
        <v>0</v>
      </c>
      <c r="V303" s="36">
        <v>0</v>
      </c>
      <c r="W303" s="36">
        <v>0</v>
      </c>
      <c r="X303" s="35">
        <v>0</v>
      </c>
      <c r="Y303" s="36">
        <v>0</v>
      </c>
      <c r="Z303" s="35">
        <v>0</v>
      </c>
      <c r="AA303" s="36">
        <v>0</v>
      </c>
      <c r="AB303" s="36">
        <v>0</v>
      </c>
      <c r="AC303" s="35">
        <v>0</v>
      </c>
    </row>
    <row r="304" spans="1:29" x14ac:dyDescent="0.3">
      <c r="A304" s="21" t="s">
        <v>398</v>
      </c>
      <c r="B304" s="35">
        <v>0</v>
      </c>
      <c r="C304" s="36">
        <v>0</v>
      </c>
      <c r="D304" s="35">
        <v>0</v>
      </c>
      <c r="E304" s="36">
        <v>0</v>
      </c>
      <c r="F304" s="36">
        <v>0</v>
      </c>
      <c r="G304" s="35">
        <v>0</v>
      </c>
      <c r="H304" s="36">
        <v>0</v>
      </c>
      <c r="I304" s="35">
        <v>0</v>
      </c>
      <c r="J304" s="36">
        <v>0</v>
      </c>
      <c r="K304" s="36">
        <v>0</v>
      </c>
      <c r="L304" s="35">
        <v>0</v>
      </c>
      <c r="M304" s="36">
        <v>0</v>
      </c>
      <c r="N304" s="35">
        <v>0</v>
      </c>
      <c r="O304" s="35">
        <v>0</v>
      </c>
      <c r="P304" s="35">
        <v>0</v>
      </c>
      <c r="Q304" s="36">
        <v>0</v>
      </c>
      <c r="R304" s="35">
        <v>0</v>
      </c>
      <c r="S304" s="35">
        <v>0</v>
      </c>
      <c r="T304" s="36">
        <v>0</v>
      </c>
      <c r="U304" s="35">
        <v>0</v>
      </c>
      <c r="V304" s="36">
        <v>0</v>
      </c>
      <c r="W304" s="36">
        <v>0</v>
      </c>
      <c r="X304" s="35">
        <v>0</v>
      </c>
      <c r="Y304" s="36">
        <v>0</v>
      </c>
      <c r="Z304" s="35">
        <v>0</v>
      </c>
      <c r="AA304" s="36">
        <v>0</v>
      </c>
      <c r="AB304" s="36">
        <v>0</v>
      </c>
      <c r="AC304" s="35">
        <v>0</v>
      </c>
    </row>
    <row r="305" spans="1:29" x14ac:dyDescent="0.3">
      <c r="A305" s="21" t="s">
        <v>399</v>
      </c>
      <c r="B305" s="35">
        <v>0</v>
      </c>
      <c r="C305" s="36">
        <v>0</v>
      </c>
      <c r="D305" s="35">
        <v>0</v>
      </c>
      <c r="E305" s="36">
        <v>0</v>
      </c>
      <c r="F305" s="36">
        <v>0</v>
      </c>
      <c r="G305" s="35">
        <v>0</v>
      </c>
      <c r="H305" s="36">
        <v>0</v>
      </c>
      <c r="I305" s="35">
        <v>0</v>
      </c>
      <c r="J305" s="36">
        <v>0</v>
      </c>
      <c r="K305" s="36">
        <v>0</v>
      </c>
      <c r="L305" s="35">
        <v>0</v>
      </c>
      <c r="M305" s="36">
        <v>0</v>
      </c>
      <c r="N305" s="35">
        <v>0</v>
      </c>
      <c r="O305" s="35">
        <v>0</v>
      </c>
      <c r="P305" s="35">
        <v>0</v>
      </c>
      <c r="Q305" s="36">
        <v>0</v>
      </c>
      <c r="R305" s="35">
        <v>0</v>
      </c>
      <c r="S305" s="35">
        <v>0</v>
      </c>
      <c r="T305" s="36">
        <v>0</v>
      </c>
      <c r="U305" s="35">
        <v>0</v>
      </c>
      <c r="V305" s="36">
        <v>0</v>
      </c>
      <c r="W305" s="36">
        <v>0</v>
      </c>
      <c r="X305" s="35">
        <v>0</v>
      </c>
      <c r="Y305" s="36">
        <v>0</v>
      </c>
      <c r="Z305" s="35">
        <v>0</v>
      </c>
      <c r="AA305" s="36">
        <v>0</v>
      </c>
      <c r="AB305" s="36">
        <v>0</v>
      </c>
      <c r="AC305" s="35">
        <v>0</v>
      </c>
    </row>
    <row r="306" spans="1:29" x14ac:dyDescent="0.3">
      <c r="A306" s="21" t="s">
        <v>400</v>
      </c>
      <c r="B306" s="35">
        <v>0</v>
      </c>
      <c r="C306" s="36">
        <v>0</v>
      </c>
      <c r="D306" s="35">
        <v>0</v>
      </c>
      <c r="E306" s="36">
        <v>0</v>
      </c>
      <c r="F306" s="36">
        <v>0</v>
      </c>
      <c r="G306" s="35">
        <v>0</v>
      </c>
      <c r="H306" s="36">
        <v>0</v>
      </c>
      <c r="I306" s="35">
        <v>0</v>
      </c>
      <c r="J306" s="36">
        <v>0</v>
      </c>
      <c r="K306" s="36">
        <v>0</v>
      </c>
      <c r="L306" s="35">
        <v>0</v>
      </c>
      <c r="M306" s="36">
        <v>0</v>
      </c>
      <c r="N306" s="35">
        <v>0</v>
      </c>
      <c r="O306" s="35">
        <v>0</v>
      </c>
      <c r="P306" s="35">
        <v>0</v>
      </c>
      <c r="Q306" s="36">
        <v>0</v>
      </c>
      <c r="R306" s="35">
        <v>0</v>
      </c>
      <c r="S306" s="35">
        <v>0</v>
      </c>
      <c r="T306" s="36">
        <v>0</v>
      </c>
      <c r="U306" s="35">
        <v>0</v>
      </c>
      <c r="V306" s="36">
        <v>0</v>
      </c>
      <c r="W306" s="36">
        <v>0</v>
      </c>
      <c r="X306" s="35">
        <v>0</v>
      </c>
      <c r="Y306" s="36">
        <v>0</v>
      </c>
      <c r="Z306" s="35">
        <v>0</v>
      </c>
      <c r="AA306" s="36">
        <v>0</v>
      </c>
      <c r="AB306" s="36">
        <v>0</v>
      </c>
      <c r="AC306" s="35">
        <v>0</v>
      </c>
    </row>
    <row r="307" spans="1:29" x14ac:dyDescent="0.3">
      <c r="A307" s="21" t="s">
        <v>401</v>
      </c>
      <c r="B307" s="35">
        <v>0</v>
      </c>
      <c r="C307" s="36">
        <v>0</v>
      </c>
      <c r="D307" s="29">
        <v>6</v>
      </c>
      <c r="E307" s="34">
        <v>3</v>
      </c>
      <c r="F307" s="34">
        <v>3</v>
      </c>
      <c r="G307" s="35">
        <v>0</v>
      </c>
      <c r="H307" s="36">
        <v>0</v>
      </c>
      <c r="I307" s="29">
        <v>6</v>
      </c>
      <c r="J307" s="34">
        <v>3</v>
      </c>
      <c r="K307" s="36">
        <v>0</v>
      </c>
      <c r="L307" s="29">
        <v>11</v>
      </c>
      <c r="M307" s="34">
        <v>3</v>
      </c>
      <c r="N307" s="29">
        <v>10</v>
      </c>
      <c r="O307" s="29">
        <v>3</v>
      </c>
      <c r="P307" s="35">
        <v>0</v>
      </c>
      <c r="Q307" s="34">
        <v>31</v>
      </c>
      <c r="R307" s="35">
        <v>0</v>
      </c>
      <c r="S307" s="29">
        <v>10</v>
      </c>
      <c r="T307" s="34">
        <v>7</v>
      </c>
      <c r="U307" s="29">
        <v>6</v>
      </c>
      <c r="V307" s="34">
        <v>6</v>
      </c>
      <c r="W307" s="36">
        <v>0</v>
      </c>
      <c r="X307" s="35">
        <v>0</v>
      </c>
      <c r="Y307" s="36">
        <v>0</v>
      </c>
      <c r="Z307" s="29">
        <v>10</v>
      </c>
      <c r="AA307" s="34">
        <v>1</v>
      </c>
      <c r="AB307" s="36">
        <v>0</v>
      </c>
      <c r="AC307" s="29">
        <v>2</v>
      </c>
    </row>
    <row r="308" spans="1:29" x14ac:dyDescent="0.3">
      <c r="A308" s="27" t="s">
        <v>402</v>
      </c>
      <c r="B308" s="35">
        <v>0</v>
      </c>
      <c r="C308" s="36">
        <v>0</v>
      </c>
      <c r="D308" s="35">
        <v>0</v>
      </c>
      <c r="E308" s="36">
        <v>0</v>
      </c>
      <c r="F308" s="34">
        <v>1</v>
      </c>
      <c r="G308" s="35">
        <v>0</v>
      </c>
      <c r="H308" s="36">
        <v>0</v>
      </c>
      <c r="I308" s="35">
        <v>0</v>
      </c>
      <c r="J308" s="34">
        <v>2</v>
      </c>
      <c r="K308" s="34">
        <v>2</v>
      </c>
      <c r="L308" s="29">
        <v>1</v>
      </c>
      <c r="M308" s="34">
        <v>1</v>
      </c>
      <c r="N308" s="35">
        <v>0</v>
      </c>
      <c r="O308" s="35">
        <v>0</v>
      </c>
      <c r="P308" s="35">
        <v>0</v>
      </c>
      <c r="Q308" s="34">
        <v>2</v>
      </c>
      <c r="R308" s="35">
        <v>0</v>
      </c>
      <c r="S308" s="35">
        <v>0</v>
      </c>
      <c r="T308" s="36">
        <v>0</v>
      </c>
      <c r="U308" s="29">
        <v>1</v>
      </c>
      <c r="V308" s="36">
        <v>0</v>
      </c>
      <c r="W308" s="34">
        <v>4</v>
      </c>
      <c r="X308" s="35">
        <v>0</v>
      </c>
      <c r="Y308" s="34">
        <v>1</v>
      </c>
      <c r="Z308" s="29">
        <v>1</v>
      </c>
      <c r="AA308" s="36">
        <v>0</v>
      </c>
      <c r="AB308" s="36">
        <v>0</v>
      </c>
      <c r="AC308" s="29">
        <v>1</v>
      </c>
    </row>
    <row r="309" spans="1:29" x14ac:dyDescent="0.3">
      <c r="A309" s="27" t="s">
        <v>403</v>
      </c>
      <c r="B309" s="35">
        <v>0</v>
      </c>
      <c r="C309" s="36">
        <v>0</v>
      </c>
      <c r="D309" s="35">
        <v>0</v>
      </c>
      <c r="E309" s="34">
        <v>1</v>
      </c>
      <c r="F309" s="36">
        <v>0</v>
      </c>
      <c r="G309" s="35">
        <v>0</v>
      </c>
      <c r="H309" s="36">
        <v>0</v>
      </c>
      <c r="I309" s="35">
        <v>0</v>
      </c>
      <c r="J309" s="36">
        <v>0</v>
      </c>
      <c r="K309" s="36">
        <v>0</v>
      </c>
      <c r="L309" s="29">
        <v>1</v>
      </c>
      <c r="M309" s="34">
        <v>2</v>
      </c>
      <c r="N309" s="35">
        <v>0</v>
      </c>
      <c r="O309" s="35">
        <v>0</v>
      </c>
      <c r="P309" s="35">
        <v>0</v>
      </c>
      <c r="Q309" s="36">
        <v>0</v>
      </c>
      <c r="R309" s="35">
        <v>0</v>
      </c>
      <c r="S309" s="35">
        <v>0</v>
      </c>
      <c r="T309" s="36">
        <v>0</v>
      </c>
      <c r="U309" s="35">
        <v>0</v>
      </c>
      <c r="V309" s="36">
        <v>0</v>
      </c>
      <c r="W309" s="36">
        <v>0</v>
      </c>
      <c r="X309" s="35">
        <v>0</v>
      </c>
      <c r="Y309" s="36">
        <v>0</v>
      </c>
      <c r="Z309" s="35">
        <v>0</v>
      </c>
      <c r="AA309" s="36">
        <v>0</v>
      </c>
      <c r="AB309" s="36">
        <v>0</v>
      </c>
      <c r="AC309" s="35">
        <v>0</v>
      </c>
    </row>
    <row r="310" spans="1:29" x14ac:dyDescent="0.3">
      <c r="A310" s="21" t="s">
        <v>119</v>
      </c>
      <c r="B310" s="35">
        <v>0</v>
      </c>
      <c r="C310" s="36">
        <v>0</v>
      </c>
      <c r="D310" s="35">
        <v>0</v>
      </c>
      <c r="E310" s="36">
        <v>0</v>
      </c>
      <c r="F310" s="36">
        <v>0</v>
      </c>
      <c r="G310" s="35">
        <v>0</v>
      </c>
      <c r="H310" s="36">
        <v>0</v>
      </c>
      <c r="I310" s="35">
        <v>0</v>
      </c>
      <c r="J310" s="36">
        <v>0</v>
      </c>
      <c r="K310" s="36">
        <v>0</v>
      </c>
      <c r="L310" s="35">
        <v>0</v>
      </c>
      <c r="M310" s="36">
        <v>0</v>
      </c>
      <c r="N310" s="35">
        <v>0</v>
      </c>
      <c r="O310" s="35">
        <v>0</v>
      </c>
      <c r="P310" s="35">
        <v>0</v>
      </c>
      <c r="Q310" s="36">
        <v>0</v>
      </c>
      <c r="R310" s="35">
        <v>0</v>
      </c>
      <c r="S310" s="35">
        <v>0</v>
      </c>
      <c r="T310" s="36">
        <v>0</v>
      </c>
      <c r="U310" s="35">
        <v>0</v>
      </c>
      <c r="V310" s="36">
        <v>0</v>
      </c>
      <c r="W310" s="36">
        <v>0</v>
      </c>
      <c r="X310" s="35">
        <v>0</v>
      </c>
      <c r="Y310" s="36">
        <v>0</v>
      </c>
      <c r="Z310" s="35">
        <v>0</v>
      </c>
      <c r="AA310" s="36">
        <v>0</v>
      </c>
      <c r="AB310" s="36">
        <v>0</v>
      </c>
      <c r="AC310" s="35">
        <v>0</v>
      </c>
    </row>
    <row r="311" spans="1:29" x14ac:dyDescent="0.3">
      <c r="A311" s="21" t="s">
        <v>404</v>
      </c>
      <c r="B311" s="35">
        <v>0</v>
      </c>
      <c r="C311" s="36">
        <v>0</v>
      </c>
      <c r="D311" s="35">
        <v>0</v>
      </c>
      <c r="E311" s="36">
        <v>0</v>
      </c>
      <c r="F311" s="34">
        <v>1</v>
      </c>
      <c r="G311" s="35">
        <v>0</v>
      </c>
      <c r="H311" s="36">
        <v>0</v>
      </c>
      <c r="I311" s="29">
        <v>1</v>
      </c>
      <c r="J311" s="34">
        <v>2</v>
      </c>
      <c r="K311" s="34">
        <v>5</v>
      </c>
      <c r="L311" s="35">
        <v>0</v>
      </c>
      <c r="M311" s="36">
        <v>0</v>
      </c>
      <c r="N311" s="35">
        <v>0</v>
      </c>
      <c r="O311" s="35">
        <v>0</v>
      </c>
      <c r="P311" s="35">
        <v>0</v>
      </c>
      <c r="Q311" s="36">
        <v>0</v>
      </c>
      <c r="R311" s="29">
        <v>1</v>
      </c>
      <c r="S311" s="35">
        <v>0</v>
      </c>
      <c r="T311" s="36">
        <v>0</v>
      </c>
      <c r="U311" s="35">
        <v>0</v>
      </c>
      <c r="V311" s="36">
        <v>0</v>
      </c>
      <c r="W311" s="36">
        <v>0</v>
      </c>
      <c r="X311" s="35">
        <v>0</v>
      </c>
      <c r="Y311" s="36">
        <v>0</v>
      </c>
      <c r="Z311" s="35">
        <v>0</v>
      </c>
      <c r="AA311" s="36">
        <v>0</v>
      </c>
      <c r="AB311" s="36">
        <v>0</v>
      </c>
      <c r="AC311" s="35">
        <v>0</v>
      </c>
    </row>
    <row r="312" spans="1:29" x14ac:dyDescent="0.3">
      <c r="A312" s="21" t="s">
        <v>405</v>
      </c>
      <c r="B312" s="35">
        <v>0</v>
      </c>
      <c r="C312" s="36">
        <v>0</v>
      </c>
      <c r="D312" s="35">
        <v>0</v>
      </c>
      <c r="E312" s="36">
        <v>0</v>
      </c>
      <c r="F312" s="36">
        <v>0</v>
      </c>
      <c r="G312" s="35">
        <v>0</v>
      </c>
      <c r="H312" s="36">
        <v>0</v>
      </c>
      <c r="I312" s="35">
        <v>0</v>
      </c>
      <c r="J312" s="36">
        <v>0</v>
      </c>
      <c r="K312" s="36">
        <v>0</v>
      </c>
      <c r="L312" s="35">
        <v>0</v>
      </c>
      <c r="M312" s="36">
        <v>0</v>
      </c>
      <c r="N312" s="35">
        <v>0</v>
      </c>
      <c r="O312" s="35">
        <v>0</v>
      </c>
      <c r="P312" s="35">
        <v>0</v>
      </c>
      <c r="Q312" s="36">
        <v>0</v>
      </c>
      <c r="R312" s="35">
        <v>0</v>
      </c>
      <c r="S312" s="35">
        <v>0</v>
      </c>
      <c r="T312" s="36">
        <v>0</v>
      </c>
      <c r="U312" s="35">
        <v>0</v>
      </c>
      <c r="V312" s="36">
        <v>0</v>
      </c>
      <c r="W312" s="36">
        <v>0</v>
      </c>
      <c r="X312" s="35">
        <v>0</v>
      </c>
      <c r="Y312" s="36">
        <v>0</v>
      </c>
      <c r="Z312" s="35">
        <v>0</v>
      </c>
      <c r="AA312" s="36">
        <v>0</v>
      </c>
      <c r="AB312" s="36">
        <v>0</v>
      </c>
      <c r="AC312" s="35">
        <v>0</v>
      </c>
    </row>
    <row r="313" spans="1:29" x14ac:dyDescent="0.3">
      <c r="A313" s="21" t="s">
        <v>406</v>
      </c>
      <c r="B313" s="35">
        <v>0</v>
      </c>
      <c r="C313" s="36">
        <v>0</v>
      </c>
      <c r="D313" s="35">
        <v>0</v>
      </c>
      <c r="E313" s="36">
        <v>0</v>
      </c>
      <c r="F313" s="36">
        <v>0</v>
      </c>
      <c r="G313" s="35">
        <v>0</v>
      </c>
      <c r="H313" s="36">
        <v>0</v>
      </c>
      <c r="I313" s="35">
        <v>0</v>
      </c>
      <c r="J313" s="36">
        <v>0</v>
      </c>
      <c r="K313" s="36">
        <v>0</v>
      </c>
      <c r="L313" s="35">
        <v>0</v>
      </c>
      <c r="M313" s="36">
        <v>0</v>
      </c>
      <c r="N313" s="35">
        <v>0</v>
      </c>
      <c r="O313" s="35">
        <v>0</v>
      </c>
      <c r="P313" s="35">
        <v>0</v>
      </c>
      <c r="Q313" s="36">
        <v>0</v>
      </c>
      <c r="R313" s="35">
        <v>0</v>
      </c>
      <c r="S313" s="35">
        <v>0</v>
      </c>
      <c r="T313" s="36">
        <v>0</v>
      </c>
      <c r="U313" s="35">
        <v>0</v>
      </c>
      <c r="V313" s="36">
        <v>0</v>
      </c>
      <c r="W313" s="36">
        <v>0</v>
      </c>
      <c r="X313" s="35">
        <v>0</v>
      </c>
      <c r="Y313" s="36">
        <v>0</v>
      </c>
      <c r="Z313" s="35">
        <v>0</v>
      </c>
      <c r="AA313" s="36">
        <v>0</v>
      </c>
      <c r="AB313" s="36">
        <v>0</v>
      </c>
      <c r="AC313" s="35">
        <v>0</v>
      </c>
    </row>
    <row r="314" spans="1:29" x14ac:dyDescent="0.3">
      <c r="A314" s="27" t="s">
        <v>407</v>
      </c>
      <c r="B314" s="35">
        <v>0</v>
      </c>
      <c r="C314" s="36">
        <v>0</v>
      </c>
      <c r="D314" s="29">
        <v>1</v>
      </c>
      <c r="E314" s="34">
        <v>1</v>
      </c>
      <c r="F314" s="34">
        <v>5</v>
      </c>
      <c r="G314" s="29">
        <v>3</v>
      </c>
      <c r="H314" s="34">
        <v>1</v>
      </c>
      <c r="I314" s="35">
        <v>0</v>
      </c>
      <c r="J314" s="34">
        <v>7</v>
      </c>
      <c r="K314" s="36">
        <v>0</v>
      </c>
      <c r="L314" s="35">
        <v>0</v>
      </c>
      <c r="M314" s="34">
        <v>3</v>
      </c>
      <c r="N314" s="29">
        <v>1</v>
      </c>
      <c r="O314" s="29">
        <v>3</v>
      </c>
      <c r="P314" s="35">
        <v>0</v>
      </c>
      <c r="Q314" s="34">
        <v>1</v>
      </c>
      <c r="R314" s="35">
        <v>0</v>
      </c>
      <c r="S314" s="29">
        <v>1</v>
      </c>
      <c r="T314" s="36">
        <v>0</v>
      </c>
      <c r="U314" s="35">
        <v>0</v>
      </c>
      <c r="V314" s="36">
        <v>0</v>
      </c>
      <c r="W314" s="36">
        <v>0</v>
      </c>
      <c r="X314" s="35">
        <v>0</v>
      </c>
      <c r="Y314" s="36">
        <v>0</v>
      </c>
      <c r="Z314" s="35">
        <v>0</v>
      </c>
      <c r="AA314" s="36">
        <v>0</v>
      </c>
      <c r="AB314" s="36">
        <v>0</v>
      </c>
      <c r="AC314" s="35">
        <v>0</v>
      </c>
    </row>
    <row r="315" spans="1:29" x14ac:dyDescent="0.3">
      <c r="A315" s="21" t="s">
        <v>408</v>
      </c>
      <c r="B315" s="35">
        <v>0</v>
      </c>
      <c r="C315" s="36">
        <v>0</v>
      </c>
      <c r="D315" s="35">
        <v>0</v>
      </c>
      <c r="E315" s="36">
        <v>0</v>
      </c>
      <c r="F315" s="36">
        <v>0</v>
      </c>
      <c r="G315" s="35">
        <v>0</v>
      </c>
      <c r="H315" s="36">
        <v>0</v>
      </c>
      <c r="I315" s="35">
        <v>0</v>
      </c>
      <c r="J315" s="34">
        <v>1</v>
      </c>
      <c r="K315" s="34">
        <v>2</v>
      </c>
      <c r="L315" s="35">
        <v>0</v>
      </c>
      <c r="M315" s="36">
        <v>0</v>
      </c>
      <c r="N315" s="35">
        <v>0</v>
      </c>
      <c r="O315" s="35">
        <v>0</v>
      </c>
      <c r="P315" s="35">
        <v>0</v>
      </c>
      <c r="Q315" s="36">
        <v>0</v>
      </c>
      <c r="R315" s="29">
        <v>1</v>
      </c>
      <c r="S315" s="35">
        <v>0</v>
      </c>
      <c r="T315" s="36">
        <v>0</v>
      </c>
      <c r="U315" s="35">
        <v>0</v>
      </c>
      <c r="V315" s="36">
        <v>0</v>
      </c>
      <c r="W315" s="36">
        <v>0</v>
      </c>
      <c r="X315" s="35">
        <v>0</v>
      </c>
      <c r="Y315" s="36">
        <v>0</v>
      </c>
      <c r="Z315" s="35">
        <v>0</v>
      </c>
      <c r="AA315" s="36">
        <v>0</v>
      </c>
      <c r="AB315" s="36">
        <v>0</v>
      </c>
      <c r="AC315" s="35">
        <v>0</v>
      </c>
    </row>
    <row r="316" spans="1:29" x14ac:dyDescent="0.3">
      <c r="A316" s="27" t="s">
        <v>409</v>
      </c>
      <c r="B316" s="35">
        <v>0</v>
      </c>
      <c r="C316" s="36">
        <v>0</v>
      </c>
      <c r="D316" s="35">
        <v>0</v>
      </c>
      <c r="E316" s="36">
        <v>0</v>
      </c>
      <c r="F316" s="36">
        <v>0</v>
      </c>
      <c r="G316" s="35">
        <v>0</v>
      </c>
      <c r="H316" s="36">
        <v>0</v>
      </c>
      <c r="I316" s="35">
        <v>0</v>
      </c>
      <c r="J316" s="36">
        <v>0</v>
      </c>
      <c r="K316" s="36">
        <v>0</v>
      </c>
      <c r="L316" s="35">
        <v>0</v>
      </c>
      <c r="M316" s="36">
        <v>0</v>
      </c>
      <c r="N316" s="35">
        <v>0</v>
      </c>
      <c r="O316" s="35">
        <v>0</v>
      </c>
      <c r="P316" s="35">
        <v>0</v>
      </c>
      <c r="Q316" s="36">
        <v>0</v>
      </c>
      <c r="R316" s="35">
        <v>0</v>
      </c>
      <c r="S316" s="29">
        <v>7</v>
      </c>
      <c r="T316" s="36">
        <v>0</v>
      </c>
      <c r="U316" s="35">
        <v>0</v>
      </c>
      <c r="V316" s="36">
        <v>0</v>
      </c>
      <c r="W316" s="36">
        <v>0</v>
      </c>
      <c r="X316" s="29">
        <v>4</v>
      </c>
      <c r="Y316" s="34">
        <v>1</v>
      </c>
      <c r="Z316" s="35">
        <v>0</v>
      </c>
      <c r="AA316" s="36">
        <v>0</v>
      </c>
      <c r="AB316" s="36">
        <v>0</v>
      </c>
      <c r="AC316" s="35">
        <v>0</v>
      </c>
    </row>
    <row r="317" spans="1:29" x14ac:dyDescent="0.3">
      <c r="A317" s="27" t="s">
        <v>410</v>
      </c>
      <c r="B317" s="35">
        <v>0</v>
      </c>
      <c r="C317" s="34">
        <v>1</v>
      </c>
      <c r="D317" s="29">
        <v>1</v>
      </c>
      <c r="E317" s="36">
        <v>0</v>
      </c>
      <c r="F317" s="36">
        <v>0</v>
      </c>
      <c r="G317" s="35">
        <v>0</v>
      </c>
      <c r="H317" s="36">
        <v>0</v>
      </c>
      <c r="I317" s="35">
        <v>0</v>
      </c>
      <c r="J317" s="36">
        <v>0</v>
      </c>
      <c r="K317" s="36">
        <v>0</v>
      </c>
      <c r="L317" s="35">
        <v>0</v>
      </c>
      <c r="M317" s="36">
        <v>0</v>
      </c>
      <c r="N317" s="35">
        <v>0</v>
      </c>
      <c r="O317" s="35">
        <v>0</v>
      </c>
      <c r="P317" s="35">
        <v>0</v>
      </c>
      <c r="Q317" s="36">
        <v>0</v>
      </c>
      <c r="R317" s="35">
        <v>0</v>
      </c>
      <c r="S317" s="35">
        <v>0</v>
      </c>
      <c r="T317" s="36">
        <v>0</v>
      </c>
      <c r="U317" s="35">
        <v>0</v>
      </c>
      <c r="V317" s="36">
        <v>0</v>
      </c>
      <c r="W317" s="36">
        <v>0</v>
      </c>
      <c r="X317" s="35">
        <v>0</v>
      </c>
      <c r="Y317" s="36">
        <v>0</v>
      </c>
      <c r="Z317" s="35">
        <v>0</v>
      </c>
      <c r="AA317" s="36">
        <v>0</v>
      </c>
      <c r="AB317" s="36">
        <v>0</v>
      </c>
      <c r="AC317" s="35">
        <v>0</v>
      </c>
    </row>
    <row r="318" spans="1:29" x14ac:dyDescent="0.3">
      <c r="A318" s="27" t="s">
        <v>411</v>
      </c>
      <c r="B318" s="35">
        <v>0</v>
      </c>
      <c r="C318" s="36">
        <v>0</v>
      </c>
      <c r="D318" s="35">
        <v>0</v>
      </c>
      <c r="E318" s="36">
        <v>0</v>
      </c>
      <c r="F318" s="36">
        <v>0</v>
      </c>
      <c r="G318" s="35">
        <v>0</v>
      </c>
      <c r="H318" s="36">
        <v>0</v>
      </c>
      <c r="I318" s="35">
        <v>0</v>
      </c>
      <c r="J318" s="36">
        <v>0</v>
      </c>
      <c r="K318" s="36">
        <v>0</v>
      </c>
      <c r="L318" s="35">
        <v>0</v>
      </c>
      <c r="M318" s="36">
        <v>0</v>
      </c>
      <c r="N318" s="35">
        <v>0</v>
      </c>
      <c r="O318" s="35">
        <v>0</v>
      </c>
      <c r="P318" s="35">
        <v>0</v>
      </c>
      <c r="Q318" s="36">
        <v>0</v>
      </c>
      <c r="R318" s="35">
        <v>0</v>
      </c>
      <c r="S318" s="29">
        <v>1</v>
      </c>
      <c r="T318" s="36">
        <v>0</v>
      </c>
      <c r="U318" s="29">
        <v>1</v>
      </c>
      <c r="V318" s="36">
        <v>0</v>
      </c>
      <c r="W318" s="34">
        <v>5</v>
      </c>
      <c r="X318" s="35">
        <v>0</v>
      </c>
      <c r="Y318" s="34">
        <v>3</v>
      </c>
      <c r="Z318" s="29">
        <v>5</v>
      </c>
      <c r="AA318" s="34">
        <v>2</v>
      </c>
      <c r="AB318" s="36">
        <v>0</v>
      </c>
      <c r="AC318" s="35">
        <v>0</v>
      </c>
    </row>
    <row r="319" spans="1:29" x14ac:dyDescent="0.3">
      <c r="A319" s="21" t="s">
        <v>412</v>
      </c>
      <c r="B319" s="35">
        <v>0</v>
      </c>
      <c r="C319" s="36">
        <v>0</v>
      </c>
      <c r="D319" s="35">
        <v>0</v>
      </c>
      <c r="E319" s="36">
        <v>0</v>
      </c>
      <c r="F319" s="36">
        <v>0</v>
      </c>
      <c r="G319" s="35">
        <v>0</v>
      </c>
      <c r="H319" s="36">
        <v>0</v>
      </c>
      <c r="I319" s="35">
        <v>0</v>
      </c>
      <c r="J319" s="36">
        <v>0</v>
      </c>
      <c r="K319" s="36">
        <v>0</v>
      </c>
      <c r="L319" s="35">
        <v>0</v>
      </c>
      <c r="M319" s="36">
        <v>0</v>
      </c>
      <c r="N319" s="35">
        <v>0</v>
      </c>
      <c r="O319" s="35">
        <v>0</v>
      </c>
      <c r="P319" s="35">
        <v>0</v>
      </c>
      <c r="Q319" s="36">
        <v>0</v>
      </c>
      <c r="R319" s="35">
        <v>0</v>
      </c>
      <c r="S319" s="35">
        <v>0</v>
      </c>
      <c r="T319" s="36">
        <v>0</v>
      </c>
      <c r="U319" s="35">
        <v>0</v>
      </c>
      <c r="V319" s="36">
        <v>0</v>
      </c>
      <c r="W319" s="36">
        <v>0</v>
      </c>
      <c r="X319" s="35">
        <v>0</v>
      </c>
      <c r="Y319" s="36">
        <v>0</v>
      </c>
      <c r="Z319" s="35">
        <v>0</v>
      </c>
      <c r="AA319" s="36">
        <v>0</v>
      </c>
      <c r="AB319" s="36">
        <v>0</v>
      </c>
      <c r="AC319" s="35">
        <v>0</v>
      </c>
    </row>
    <row r="320" spans="1:29" x14ac:dyDescent="0.3">
      <c r="A320" s="27" t="s">
        <v>413</v>
      </c>
      <c r="B320" s="35">
        <v>0</v>
      </c>
      <c r="C320" s="36">
        <v>0</v>
      </c>
      <c r="D320" s="35">
        <v>0</v>
      </c>
      <c r="E320" s="36">
        <v>0</v>
      </c>
      <c r="F320" s="36">
        <v>0</v>
      </c>
      <c r="G320" s="35">
        <v>0</v>
      </c>
      <c r="H320" s="36">
        <v>0</v>
      </c>
      <c r="I320" s="29">
        <v>1</v>
      </c>
      <c r="J320" s="34">
        <v>1</v>
      </c>
      <c r="K320" s="36">
        <v>0</v>
      </c>
      <c r="L320" s="35">
        <v>0</v>
      </c>
      <c r="M320" s="36">
        <v>0</v>
      </c>
      <c r="N320" s="35">
        <v>0</v>
      </c>
      <c r="O320" s="35">
        <v>0</v>
      </c>
      <c r="P320" s="35">
        <v>0</v>
      </c>
      <c r="Q320" s="36">
        <v>0</v>
      </c>
      <c r="R320" s="35">
        <v>0</v>
      </c>
      <c r="S320" s="35">
        <v>0</v>
      </c>
      <c r="T320" s="36">
        <v>0</v>
      </c>
      <c r="U320" s="35">
        <v>0</v>
      </c>
      <c r="V320" s="36">
        <v>0</v>
      </c>
      <c r="W320" s="36">
        <v>0</v>
      </c>
      <c r="X320" s="35">
        <v>0</v>
      </c>
      <c r="Y320" s="36">
        <v>0</v>
      </c>
      <c r="Z320" s="35">
        <v>0</v>
      </c>
      <c r="AA320" s="36">
        <v>0</v>
      </c>
      <c r="AB320" s="36">
        <v>0</v>
      </c>
      <c r="AC320" s="35">
        <v>0</v>
      </c>
    </row>
    <row r="321" spans="1:29" x14ac:dyDescent="0.3">
      <c r="A321" s="21" t="s">
        <v>414</v>
      </c>
      <c r="B321" s="35">
        <v>0</v>
      </c>
      <c r="C321" s="34">
        <v>1</v>
      </c>
      <c r="D321" s="29">
        <v>2</v>
      </c>
      <c r="E321" s="34">
        <v>1</v>
      </c>
      <c r="F321" s="34">
        <v>5</v>
      </c>
      <c r="G321" s="35">
        <v>0</v>
      </c>
      <c r="H321" s="36">
        <v>0</v>
      </c>
      <c r="I321" s="35">
        <v>0</v>
      </c>
      <c r="J321" s="34">
        <v>7</v>
      </c>
      <c r="K321" s="34">
        <v>10</v>
      </c>
      <c r="L321" s="35">
        <v>0</v>
      </c>
      <c r="M321" s="36">
        <v>0</v>
      </c>
      <c r="N321" s="29">
        <v>1</v>
      </c>
      <c r="O321" s="35">
        <v>0</v>
      </c>
      <c r="P321" s="35">
        <v>0</v>
      </c>
      <c r="Q321" s="36">
        <v>0</v>
      </c>
      <c r="R321" s="35">
        <v>0</v>
      </c>
      <c r="S321" s="35">
        <v>0</v>
      </c>
      <c r="T321" s="36">
        <v>0</v>
      </c>
      <c r="U321" s="35">
        <v>0</v>
      </c>
      <c r="V321" s="36">
        <v>0</v>
      </c>
      <c r="W321" s="34">
        <v>3</v>
      </c>
      <c r="X321" s="35">
        <v>0</v>
      </c>
      <c r="Y321" s="36">
        <v>0</v>
      </c>
      <c r="Z321" s="35">
        <v>0</v>
      </c>
      <c r="AA321" s="36">
        <v>0</v>
      </c>
      <c r="AB321" s="34">
        <v>1</v>
      </c>
      <c r="AC321" s="35">
        <v>0</v>
      </c>
    </row>
    <row r="322" spans="1:29" x14ac:dyDescent="0.3">
      <c r="A322" s="27" t="s">
        <v>415</v>
      </c>
      <c r="B322" s="35">
        <v>0</v>
      </c>
      <c r="C322" s="36">
        <v>0</v>
      </c>
      <c r="D322" s="29">
        <v>9</v>
      </c>
      <c r="E322" s="34">
        <v>3</v>
      </c>
      <c r="F322" s="34">
        <v>12</v>
      </c>
      <c r="G322" s="35">
        <v>0</v>
      </c>
      <c r="H322" s="36">
        <v>0</v>
      </c>
      <c r="I322" s="29">
        <v>2</v>
      </c>
      <c r="J322" s="34">
        <v>5</v>
      </c>
      <c r="K322" s="36">
        <v>0</v>
      </c>
      <c r="L322" s="35">
        <v>0</v>
      </c>
      <c r="M322" s="36">
        <v>0</v>
      </c>
      <c r="N322" s="35">
        <v>0</v>
      </c>
      <c r="O322" s="35">
        <v>0</v>
      </c>
      <c r="P322" s="35">
        <v>0</v>
      </c>
      <c r="Q322" s="36">
        <v>0</v>
      </c>
      <c r="R322" s="35">
        <v>0</v>
      </c>
      <c r="S322" s="35">
        <v>0</v>
      </c>
      <c r="T322" s="36">
        <v>0</v>
      </c>
      <c r="U322" s="35">
        <v>0</v>
      </c>
      <c r="V322" s="36">
        <v>0</v>
      </c>
      <c r="W322" s="36">
        <v>0</v>
      </c>
      <c r="X322" s="35">
        <v>0</v>
      </c>
      <c r="Y322" s="36">
        <v>0</v>
      </c>
      <c r="Z322" s="35">
        <v>0</v>
      </c>
      <c r="AA322" s="36">
        <v>0</v>
      </c>
      <c r="AB322" s="36">
        <v>0</v>
      </c>
      <c r="AC322" s="35">
        <v>0</v>
      </c>
    </row>
    <row r="323" spans="1:29" x14ac:dyDescent="0.3">
      <c r="A323" s="27" t="s">
        <v>416</v>
      </c>
      <c r="B323" s="35">
        <v>0</v>
      </c>
      <c r="C323" s="36">
        <v>0</v>
      </c>
      <c r="D323" s="35">
        <v>0</v>
      </c>
      <c r="E323" s="36">
        <v>0</v>
      </c>
      <c r="F323" s="34">
        <v>2</v>
      </c>
      <c r="G323" s="35">
        <v>0</v>
      </c>
      <c r="H323" s="36">
        <v>0</v>
      </c>
      <c r="I323" s="35">
        <v>0</v>
      </c>
      <c r="J323" s="34">
        <v>12</v>
      </c>
      <c r="K323" s="36">
        <v>0</v>
      </c>
      <c r="L323" s="35">
        <v>0</v>
      </c>
      <c r="M323" s="36">
        <v>0</v>
      </c>
      <c r="N323" s="35">
        <v>0</v>
      </c>
      <c r="O323" s="35">
        <v>0</v>
      </c>
      <c r="P323" s="35">
        <v>0</v>
      </c>
      <c r="Q323" s="36">
        <v>0</v>
      </c>
      <c r="R323" s="35">
        <v>0</v>
      </c>
      <c r="S323" s="35">
        <v>0</v>
      </c>
      <c r="T323" s="36">
        <v>0</v>
      </c>
      <c r="U323" s="35">
        <v>0</v>
      </c>
      <c r="V323" s="36">
        <v>0</v>
      </c>
      <c r="W323" s="36">
        <v>0</v>
      </c>
      <c r="X323" s="35">
        <v>0</v>
      </c>
      <c r="Y323" s="36">
        <v>0</v>
      </c>
      <c r="Z323" s="35">
        <v>0</v>
      </c>
      <c r="AA323" s="36">
        <v>0</v>
      </c>
      <c r="AB323" s="36">
        <v>0</v>
      </c>
      <c r="AC323" s="35">
        <v>0</v>
      </c>
    </row>
    <row r="324" spans="1:29" x14ac:dyDescent="0.3">
      <c r="A324" s="21" t="s">
        <v>119</v>
      </c>
      <c r="B324" s="35">
        <v>0</v>
      </c>
      <c r="C324" s="36">
        <v>0</v>
      </c>
      <c r="D324" s="35">
        <v>0</v>
      </c>
      <c r="E324" s="36">
        <v>0</v>
      </c>
      <c r="F324" s="36">
        <v>0</v>
      </c>
      <c r="G324" s="35">
        <v>0</v>
      </c>
      <c r="H324" s="36">
        <v>0</v>
      </c>
      <c r="I324" s="35">
        <v>0</v>
      </c>
      <c r="J324" s="36">
        <v>0</v>
      </c>
      <c r="K324" s="36">
        <v>0</v>
      </c>
      <c r="L324" s="35">
        <v>0</v>
      </c>
      <c r="M324" s="36">
        <v>0</v>
      </c>
      <c r="N324" s="35">
        <v>0</v>
      </c>
      <c r="O324" s="35">
        <v>0</v>
      </c>
      <c r="P324" s="35">
        <v>0</v>
      </c>
      <c r="Q324" s="36">
        <v>0</v>
      </c>
      <c r="R324" s="35">
        <v>0</v>
      </c>
      <c r="S324" s="35">
        <v>0</v>
      </c>
      <c r="T324" s="36">
        <v>0</v>
      </c>
      <c r="U324" s="35">
        <v>0</v>
      </c>
      <c r="V324" s="36">
        <v>0</v>
      </c>
      <c r="W324" s="36">
        <v>0</v>
      </c>
      <c r="X324" s="35">
        <v>0</v>
      </c>
      <c r="Y324" s="36">
        <v>0</v>
      </c>
      <c r="Z324" s="35">
        <v>0</v>
      </c>
      <c r="AA324" s="36">
        <v>0</v>
      </c>
      <c r="AB324" s="36">
        <v>0</v>
      </c>
      <c r="AC324" s="35">
        <v>0</v>
      </c>
    </row>
    <row r="325" spans="1:29" x14ac:dyDescent="0.3">
      <c r="A325" s="21" t="s">
        <v>417</v>
      </c>
      <c r="B325" s="35">
        <v>0</v>
      </c>
      <c r="C325" s="36">
        <v>0</v>
      </c>
      <c r="D325" s="35">
        <v>0</v>
      </c>
      <c r="E325" s="36">
        <v>0</v>
      </c>
      <c r="F325" s="36">
        <v>0</v>
      </c>
      <c r="G325" s="35">
        <v>0</v>
      </c>
      <c r="H325" s="36">
        <v>0</v>
      </c>
      <c r="I325" s="35">
        <v>0</v>
      </c>
      <c r="J325" s="36">
        <v>0</v>
      </c>
      <c r="K325" s="36">
        <v>0</v>
      </c>
      <c r="L325" s="35">
        <v>0</v>
      </c>
      <c r="M325" s="36">
        <v>0</v>
      </c>
      <c r="N325" s="35">
        <v>0</v>
      </c>
      <c r="O325" s="35">
        <v>0</v>
      </c>
      <c r="P325" s="35">
        <v>0</v>
      </c>
      <c r="Q325" s="36">
        <v>0</v>
      </c>
      <c r="R325" s="35">
        <v>0</v>
      </c>
      <c r="S325" s="35">
        <v>0</v>
      </c>
      <c r="T325" s="36">
        <v>0</v>
      </c>
      <c r="U325" s="35">
        <v>0</v>
      </c>
      <c r="V325" s="36">
        <v>0</v>
      </c>
      <c r="W325" s="36">
        <v>0</v>
      </c>
      <c r="X325" s="35">
        <v>0</v>
      </c>
      <c r="Y325" s="36">
        <v>0</v>
      </c>
      <c r="Z325" s="35">
        <v>0</v>
      </c>
      <c r="AA325" s="36">
        <v>0</v>
      </c>
      <c r="AB325" s="36">
        <v>0</v>
      </c>
      <c r="AC325" s="35">
        <v>0</v>
      </c>
    </row>
    <row r="326" spans="1:29" x14ac:dyDescent="0.3">
      <c r="A326" s="21" t="s">
        <v>418</v>
      </c>
      <c r="B326" s="35">
        <v>0</v>
      </c>
      <c r="C326" s="36">
        <v>0</v>
      </c>
      <c r="D326" s="35">
        <v>0</v>
      </c>
      <c r="E326" s="36">
        <v>0</v>
      </c>
      <c r="F326" s="36">
        <v>0</v>
      </c>
      <c r="G326" s="35">
        <v>0</v>
      </c>
      <c r="H326" s="36">
        <v>0</v>
      </c>
      <c r="I326" s="35">
        <v>0</v>
      </c>
      <c r="J326" s="36">
        <v>0</v>
      </c>
      <c r="K326" s="36">
        <v>0</v>
      </c>
      <c r="L326" s="35">
        <v>0</v>
      </c>
      <c r="M326" s="36">
        <v>0</v>
      </c>
      <c r="N326" s="35">
        <v>0</v>
      </c>
      <c r="O326" s="35">
        <v>0</v>
      </c>
      <c r="P326" s="35">
        <v>0</v>
      </c>
      <c r="Q326" s="36">
        <v>0</v>
      </c>
      <c r="R326" s="35">
        <v>0</v>
      </c>
      <c r="S326" s="35">
        <v>0</v>
      </c>
      <c r="T326" s="36">
        <v>0</v>
      </c>
      <c r="U326" s="35">
        <v>0</v>
      </c>
      <c r="V326" s="36">
        <v>0</v>
      </c>
      <c r="W326" s="36">
        <v>0</v>
      </c>
      <c r="X326" s="35">
        <v>0</v>
      </c>
      <c r="Y326" s="36">
        <v>0</v>
      </c>
      <c r="Z326" s="35">
        <v>0</v>
      </c>
      <c r="AA326" s="36">
        <v>0</v>
      </c>
      <c r="AB326" s="36">
        <v>0</v>
      </c>
      <c r="AC326" s="35">
        <v>0</v>
      </c>
    </row>
    <row r="327" spans="1:29" x14ac:dyDescent="0.3">
      <c r="A327" s="21" t="s">
        <v>419</v>
      </c>
      <c r="B327" s="35">
        <v>0</v>
      </c>
      <c r="C327" s="36">
        <v>0</v>
      </c>
      <c r="D327" s="35">
        <v>0</v>
      </c>
      <c r="E327" s="36">
        <v>0</v>
      </c>
      <c r="F327" s="36">
        <v>0</v>
      </c>
      <c r="G327" s="35">
        <v>0</v>
      </c>
      <c r="H327" s="36">
        <v>0</v>
      </c>
      <c r="I327" s="35">
        <v>0</v>
      </c>
      <c r="J327" s="36">
        <v>0</v>
      </c>
      <c r="K327" s="36">
        <v>0</v>
      </c>
      <c r="L327" s="35">
        <v>0</v>
      </c>
      <c r="M327" s="36">
        <v>0</v>
      </c>
      <c r="N327" s="35">
        <v>0</v>
      </c>
      <c r="O327" s="35">
        <v>0</v>
      </c>
      <c r="P327" s="35">
        <v>0</v>
      </c>
      <c r="Q327" s="36">
        <v>0</v>
      </c>
      <c r="R327" s="35">
        <v>0</v>
      </c>
      <c r="S327" s="35">
        <v>0</v>
      </c>
      <c r="T327" s="36">
        <v>0</v>
      </c>
      <c r="U327" s="35">
        <v>0</v>
      </c>
      <c r="V327" s="36">
        <v>0</v>
      </c>
      <c r="W327" s="36">
        <v>0</v>
      </c>
      <c r="X327" s="35">
        <v>0</v>
      </c>
      <c r="Y327" s="36">
        <v>0</v>
      </c>
      <c r="Z327" s="35">
        <v>0</v>
      </c>
      <c r="AA327" s="36">
        <v>0</v>
      </c>
      <c r="AB327" s="36">
        <v>0</v>
      </c>
      <c r="AC327" s="35">
        <v>0</v>
      </c>
    </row>
    <row r="328" spans="1:29" x14ac:dyDescent="0.3">
      <c r="A328" s="21" t="s">
        <v>420</v>
      </c>
      <c r="B328" s="35">
        <v>0</v>
      </c>
      <c r="C328" s="36">
        <v>0</v>
      </c>
      <c r="D328" s="35">
        <v>0</v>
      </c>
      <c r="E328" s="36">
        <v>0</v>
      </c>
      <c r="F328" s="36">
        <v>0</v>
      </c>
      <c r="G328" s="35">
        <v>0</v>
      </c>
      <c r="H328" s="36">
        <v>0</v>
      </c>
      <c r="I328" s="35">
        <v>0</v>
      </c>
      <c r="J328" s="36">
        <v>0</v>
      </c>
      <c r="K328" s="36">
        <v>0</v>
      </c>
      <c r="L328" s="35">
        <v>0</v>
      </c>
      <c r="M328" s="36">
        <v>0</v>
      </c>
      <c r="N328" s="35">
        <v>0</v>
      </c>
      <c r="O328" s="35">
        <v>0</v>
      </c>
      <c r="P328" s="35">
        <v>0</v>
      </c>
      <c r="Q328" s="36">
        <v>0</v>
      </c>
      <c r="R328" s="35">
        <v>0</v>
      </c>
      <c r="S328" s="35">
        <v>0</v>
      </c>
      <c r="T328" s="36">
        <v>0</v>
      </c>
      <c r="U328" s="35">
        <v>0</v>
      </c>
      <c r="V328" s="36">
        <v>0</v>
      </c>
      <c r="W328" s="36">
        <v>0</v>
      </c>
      <c r="X328" s="35">
        <v>0</v>
      </c>
      <c r="Y328" s="36">
        <v>0</v>
      </c>
      <c r="Z328" s="35">
        <v>0</v>
      </c>
      <c r="AA328" s="36">
        <v>0</v>
      </c>
      <c r="AB328" s="36">
        <v>0</v>
      </c>
      <c r="AC328" s="35">
        <v>0</v>
      </c>
    </row>
    <row r="329" spans="1:29" x14ac:dyDescent="0.3">
      <c r="A329" s="21" t="s">
        <v>421</v>
      </c>
      <c r="B329" s="35">
        <v>0</v>
      </c>
      <c r="C329" s="36">
        <v>0</v>
      </c>
      <c r="D329" s="35">
        <v>0</v>
      </c>
      <c r="E329" s="36">
        <v>0</v>
      </c>
      <c r="F329" s="36">
        <v>0</v>
      </c>
      <c r="G329" s="35">
        <v>0</v>
      </c>
      <c r="H329" s="36">
        <v>0</v>
      </c>
      <c r="I329" s="35">
        <v>0</v>
      </c>
      <c r="J329" s="36">
        <v>0</v>
      </c>
      <c r="K329" s="36">
        <v>0</v>
      </c>
      <c r="L329" s="35">
        <v>0</v>
      </c>
      <c r="M329" s="36">
        <v>0</v>
      </c>
      <c r="N329" s="35">
        <v>0</v>
      </c>
      <c r="O329" s="35">
        <v>0</v>
      </c>
      <c r="P329" s="35">
        <v>0</v>
      </c>
      <c r="Q329" s="36">
        <v>0</v>
      </c>
      <c r="R329" s="35">
        <v>0</v>
      </c>
      <c r="S329" s="35">
        <v>0</v>
      </c>
      <c r="T329" s="36">
        <v>0</v>
      </c>
      <c r="U329" s="35">
        <v>0</v>
      </c>
      <c r="V329" s="36">
        <v>0</v>
      </c>
      <c r="W329" s="36">
        <v>0</v>
      </c>
      <c r="X329" s="35">
        <v>0</v>
      </c>
      <c r="Y329" s="36">
        <v>0</v>
      </c>
      <c r="Z329" s="35">
        <v>0</v>
      </c>
      <c r="AA329" s="36">
        <v>0</v>
      </c>
      <c r="AB329" s="36">
        <v>0</v>
      </c>
      <c r="AC329" s="35">
        <v>0</v>
      </c>
    </row>
    <row r="330" spans="1:29" x14ac:dyDescent="0.3">
      <c r="A330" s="27" t="s">
        <v>422</v>
      </c>
      <c r="B330" s="35">
        <v>0</v>
      </c>
      <c r="C330" s="36">
        <v>0</v>
      </c>
      <c r="D330" s="35">
        <v>0</v>
      </c>
      <c r="E330" s="36">
        <v>0</v>
      </c>
      <c r="F330" s="36">
        <v>0</v>
      </c>
      <c r="G330" s="35">
        <v>0</v>
      </c>
      <c r="H330" s="36">
        <v>0</v>
      </c>
      <c r="I330" s="35">
        <v>0</v>
      </c>
      <c r="J330" s="36">
        <v>0</v>
      </c>
      <c r="K330" s="36">
        <v>0</v>
      </c>
      <c r="L330" s="35">
        <v>0</v>
      </c>
      <c r="M330" s="36">
        <v>0</v>
      </c>
      <c r="N330" s="35">
        <v>0</v>
      </c>
      <c r="O330" s="35">
        <v>0</v>
      </c>
      <c r="P330" s="35">
        <v>0</v>
      </c>
      <c r="Q330" s="36">
        <v>0</v>
      </c>
      <c r="R330" s="35">
        <v>0</v>
      </c>
      <c r="S330" s="35">
        <v>0</v>
      </c>
      <c r="T330" s="36">
        <v>0</v>
      </c>
      <c r="U330" s="35">
        <v>0</v>
      </c>
      <c r="V330" s="36">
        <v>0</v>
      </c>
      <c r="W330" s="36">
        <v>0</v>
      </c>
      <c r="X330" s="35">
        <v>0</v>
      </c>
      <c r="Y330" s="36">
        <v>0</v>
      </c>
      <c r="Z330" s="35">
        <v>0</v>
      </c>
      <c r="AA330" s="36">
        <v>0</v>
      </c>
      <c r="AB330" s="36">
        <v>0</v>
      </c>
      <c r="AC330" s="35">
        <v>0</v>
      </c>
    </row>
    <row r="331" spans="1:29" x14ac:dyDescent="0.3">
      <c r="A331" s="21" t="s">
        <v>119</v>
      </c>
      <c r="B331" s="35">
        <v>0</v>
      </c>
      <c r="C331" s="36">
        <v>0</v>
      </c>
      <c r="D331" s="35">
        <v>0</v>
      </c>
      <c r="E331" s="36">
        <v>0</v>
      </c>
      <c r="F331" s="36">
        <v>0</v>
      </c>
      <c r="G331" s="35">
        <v>0</v>
      </c>
      <c r="H331" s="36">
        <v>0</v>
      </c>
      <c r="I331" s="35">
        <v>0</v>
      </c>
      <c r="J331" s="36">
        <v>0</v>
      </c>
      <c r="K331" s="36">
        <v>0</v>
      </c>
      <c r="L331" s="35">
        <v>0</v>
      </c>
      <c r="M331" s="36">
        <v>0</v>
      </c>
      <c r="N331" s="35">
        <v>0</v>
      </c>
      <c r="O331" s="35">
        <v>0</v>
      </c>
      <c r="P331" s="35">
        <v>0</v>
      </c>
      <c r="Q331" s="36">
        <v>0</v>
      </c>
      <c r="R331" s="35">
        <v>0</v>
      </c>
      <c r="S331" s="35">
        <v>0</v>
      </c>
      <c r="T331" s="36">
        <v>0</v>
      </c>
      <c r="U331" s="35">
        <v>0</v>
      </c>
      <c r="V331" s="36">
        <v>0</v>
      </c>
      <c r="W331" s="36">
        <v>0</v>
      </c>
      <c r="X331" s="35">
        <v>0</v>
      </c>
      <c r="Y331" s="36">
        <v>0</v>
      </c>
      <c r="Z331" s="35">
        <v>0</v>
      </c>
      <c r="AA331" s="36">
        <v>0</v>
      </c>
      <c r="AB331" s="36">
        <v>0</v>
      </c>
      <c r="AC331" s="35">
        <v>0</v>
      </c>
    </row>
    <row r="332" spans="1:29" x14ac:dyDescent="0.3">
      <c r="A332" s="21" t="s">
        <v>423</v>
      </c>
      <c r="B332" s="35">
        <v>0</v>
      </c>
      <c r="C332" s="36">
        <v>0</v>
      </c>
      <c r="D332" s="35">
        <v>0</v>
      </c>
      <c r="E332" s="36">
        <v>0</v>
      </c>
      <c r="F332" s="36">
        <v>0</v>
      </c>
      <c r="G332" s="35">
        <v>0</v>
      </c>
      <c r="H332" s="36">
        <v>0</v>
      </c>
      <c r="I332" s="35">
        <v>0</v>
      </c>
      <c r="J332" s="36">
        <v>0</v>
      </c>
      <c r="K332" s="36">
        <v>0</v>
      </c>
      <c r="L332" s="35">
        <v>0</v>
      </c>
      <c r="M332" s="36">
        <v>0</v>
      </c>
      <c r="N332" s="35">
        <v>0</v>
      </c>
      <c r="O332" s="35">
        <v>0</v>
      </c>
      <c r="P332" s="35">
        <v>0</v>
      </c>
      <c r="Q332" s="36">
        <v>0</v>
      </c>
      <c r="R332" s="35">
        <v>0</v>
      </c>
      <c r="S332" s="35">
        <v>0</v>
      </c>
      <c r="T332" s="36">
        <v>0</v>
      </c>
      <c r="U332" s="35">
        <v>0</v>
      </c>
      <c r="V332" s="36">
        <v>0</v>
      </c>
      <c r="W332" s="36">
        <v>0</v>
      </c>
      <c r="X332" s="35">
        <v>0</v>
      </c>
      <c r="Y332" s="36">
        <v>0</v>
      </c>
      <c r="Z332" s="35">
        <v>0</v>
      </c>
      <c r="AA332" s="36">
        <v>0</v>
      </c>
      <c r="AB332" s="36">
        <v>0</v>
      </c>
      <c r="AC332" s="35">
        <v>0</v>
      </c>
    </row>
    <row r="333" spans="1:29" x14ac:dyDescent="0.3">
      <c r="A333" s="21" t="s">
        <v>424</v>
      </c>
      <c r="B333" s="35">
        <v>0</v>
      </c>
      <c r="C333" s="36">
        <v>0</v>
      </c>
      <c r="D333" s="35">
        <v>0</v>
      </c>
      <c r="E333" s="36">
        <v>0</v>
      </c>
      <c r="F333" s="36">
        <v>0</v>
      </c>
      <c r="G333" s="35">
        <v>0</v>
      </c>
      <c r="H333" s="36">
        <v>0</v>
      </c>
      <c r="I333" s="35">
        <v>0</v>
      </c>
      <c r="J333" s="36">
        <v>0</v>
      </c>
      <c r="K333" s="36">
        <v>0</v>
      </c>
      <c r="L333" s="35">
        <v>0</v>
      </c>
      <c r="M333" s="36">
        <v>0</v>
      </c>
      <c r="N333" s="35">
        <v>0</v>
      </c>
      <c r="O333" s="35">
        <v>0</v>
      </c>
      <c r="P333" s="35">
        <v>0</v>
      </c>
      <c r="Q333" s="36">
        <v>0</v>
      </c>
      <c r="R333" s="35">
        <v>0</v>
      </c>
      <c r="S333" s="35">
        <v>0</v>
      </c>
      <c r="T333" s="36">
        <v>0</v>
      </c>
      <c r="U333" s="35">
        <v>0</v>
      </c>
      <c r="V333" s="36">
        <v>0</v>
      </c>
      <c r="W333" s="36">
        <v>0</v>
      </c>
      <c r="X333" s="35">
        <v>0</v>
      </c>
      <c r="Y333" s="36">
        <v>0</v>
      </c>
      <c r="Z333" s="35">
        <v>0</v>
      </c>
      <c r="AA333" s="36">
        <v>0</v>
      </c>
      <c r="AB333" s="36">
        <v>0</v>
      </c>
      <c r="AC333" s="35">
        <v>0</v>
      </c>
    </row>
    <row r="334" spans="1:29" x14ac:dyDescent="0.3">
      <c r="A334" s="21" t="s">
        <v>119</v>
      </c>
      <c r="B334" s="35">
        <v>0</v>
      </c>
      <c r="C334" s="36">
        <v>0</v>
      </c>
      <c r="D334" s="35">
        <v>0</v>
      </c>
      <c r="E334" s="36">
        <v>0</v>
      </c>
      <c r="F334" s="36">
        <v>0</v>
      </c>
      <c r="G334" s="35">
        <v>0</v>
      </c>
      <c r="H334" s="36">
        <v>0</v>
      </c>
      <c r="I334" s="35">
        <v>0</v>
      </c>
      <c r="J334" s="36">
        <v>0</v>
      </c>
      <c r="K334" s="36">
        <v>0</v>
      </c>
      <c r="L334" s="35">
        <v>0</v>
      </c>
      <c r="M334" s="36">
        <v>0</v>
      </c>
      <c r="N334" s="35">
        <v>0</v>
      </c>
      <c r="O334" s="35">
        <v>0</v>
      </c>
      <c r="P334" s="35">
        <v>0</v>
      </c>
      <c r="Q334" s="36">
        <v>0</v>
      </c>
      <c r="R334" s="35">
        <v>0</v>
      </c>
      <c r="S334" s="35">
        <v>0</v>
      </c>
      <c r="T334" s="36">
        <v>0</v>
      </c>
      <c r="U334" s="35">
        <v>0</v>
      </c>
      <c r="V334" s="36">
        <v>0</v>
      </c>
      <c r="W334" s="36">
        <v>0</v>
      </c>
      <c r="X334" s="35">
        <v>0</v>
      </c>
      <c r="Y334" s="36">
        <v>0</v>
      </c>
      <c r="Z334" s="35">
        <v>0</v>
      </c>
      <c r="AA334" s="36">
        <v>0</v>
      </c>
      <c r="AB334" s="36">
        <v>0</v>
      </c>
      <c r="AC334" s="35">
        <v>0</v>
      </c>
    </row>
    <row r="335" spans="1:29" x14ac:dyDescent="0.3">
      <c r="A335" s="21" t="s">
        <v>425</v>
      </c>
      <c r="B335" s="35">
        <v>0</v>
      </c>
      <c r="C335" s="36">
        <v>0</v>
      </c>
      <c r="D335" s="35">
        <v>0</v>
      </c>
      <c r="E335" s="36">
        <v>0</v>
      </c>
      <c r="F335" s="36">
        <v>0</v>
      </c>
      <c r="G335" s="35">
        <v>0</v>
      </c>
      <c r="H335" s="36">
        <v>0</v>
      </c>
      <c r="I335" s="35">
        <v>0</v>
      </c>
      <c r="J335" s="34">
        <v>1</v>
      </c>
      <c r="K335" s="36">
        <v>0</v>
      </c>
      <c r="L335" s="35">
        <v>0</v>
      </c>
      <c r="M335" s="36">
        <v>0</v>
      </c>
      <c r="N335" s="35">
        <v>0</v>
      </c>
      <c r="O335" s="35">
        <v>0</v>
      </c>
      <c r="P335" s="35">
        <v>0</v>
      </c>
      <c r="Q335" s="36">
        <v>0</v>
      </c>
      <c r="R335" s="35">
        <v>0</v>
      </c>
      <c r="S335" s="35">
        <v>0</v>
      </c>
      <c r="T335" s="36">
        <v>0</v>
      </c>
      <c r="U335" s="35">
        <v>0</v>
      </c>
      <c r="V335" s="36">
        <v>0</v>
      </c>
      <c r="W335" s="36">
        <v>0</v>
      </c>
      <c r="X335" s="35">
        <v>0</v>
      </c>
      <c r="Y335" s="36">
        <v>0</v>
      </c>
      <c r="Z335" s="35">
        <v>0</v>
      </c>
      <c r="AA335" s="36">
        <v>0</v>
      </c>
      <c r="AB335" s="36">
        <v>0</v>
      </c>
      <c r="AC335" s="35">
        <v>0</v>
      </c>
    </row>
    <row r="336" spans="1:29" x14ac:dyDescent="0.3">
      <c r="A336" s="21" t="s">
        <v>426</v>
      </c>
      <c r="B336" s="35">
        <v>0</v>
      </c>
      <c r="C336" s="36">
        <v>0</v>
      </c>
      <c r="D336" s="35">
        <v>0</v>
      </c>
      <c r="E336" s="36">
        <v>0</v>
      </c>
      <c r="F336" s="36">
        <v>0</v>
      </c>
      <c r="G336" s="35">
        <v>0</v>
      </c>
      <c r="H336" s="36">
        <v>0</v>
      </c>
      <c r="I336" s="35">
        <v>0</v>
      </c>
      <c r="J336" s="36">
        <v>0</v>
      </c>
      <c r="K336" s="36">
        <v>0</v>
      </c>
      <c r="L336" s="35">
        <v>0</v>
      </c>
      <c r="M336" s="36">
        <v>0</v>
      </c>
      <c r="N336" s="35">
        <v>0</v>
      </c>
      <c r="O336" s="35">
        <v>0</v>
      </c>
      <c r="P336" s="35">
        <v>0</v>
      </c>
      <c r="Q336" s="36">
        <v>0</v>
      </c>
      <c r="R336" s="35">
        <v>0</v>
      </c>
      <c r="S336" s="35">
        <v>0</v>
      </c>
      <c r="T336" s="36">
        <v>0</v>
      </c>
      <c r="U336" s="35">
        <v>0</v>
      </c>
      <c r="V336" s="36">
        <v>0</v>
      </c>
      <c r="W336" s="36">
        <v>0</v>
      </c>
      <c r="X336" s="35">
        <v>0</v>
      </c>
      <c r="Y336" s="36">
        <v>0</v>
      </c>
      <c r="Z336" s="35">
        <v>0</v>
      </c>
      <c r="AA336" s="36">
        <v>0</v>
      </c>
      <c r="AB336" s="36">
        <v>0</v>
      </c>
      <c r="AC336" s="35">
        <v>0</v>
      </c>
    </row>
    <row r="337" spans="1:29" x14ac:dyDescent="0.3">
      <c r="A337" s="21" t="s">
        <v>427</v>
      </c>
      <c r="B337" s="35">
        <v>0</v>
      </c>
      <c r="C337" s="34">
        <v>1</v>
      </c>
      <c r="D337" s="35">
        <v>0</v>
      </c>
      <c r="E337" s="36">
        <v>0</v>
      </c>
      <c r="F337" s="36">
        <v>0</v>
      </c>
      <c r="G337" s="35">
        <v>0</v>
      </c>
      <c r="H337" s="36">
        <v>0</v>
      </c>
      <c r="I337" s="35">
        <v>0</v>
      </c>
      <c r="J337" s="36">
        <v>0</v>
      </c>
      <c r="K337" s="36">
        <v>0</v>
      </c>
      <c r="L337" s="35">
        <v>0</v>
      </c>
      <c r="M337" s="36">
        <v>0</v>
      </c>
      <c r="N337" s="35">
        <v>0</v>
      </c>
      <c r="O337" s="35">
        <v>0</v>
      </c>
      <c r="P337" s="35">
        <v>0</v>
      </c>
      <c r="Q337" s="36">
        <v>0</v>
      </c>
      <c r="R337" s="29">
        <v>10</v>
      </c>
      <c r="S337" s="35">
        <v>0</v>
      </c>
      <c r="T337" s="36">
        <v>0</v>
      </c>
      <c r="U337" s="35">
        <v>0</v>
      </c>
      <c r="V337" s="36">
        <v>0</v>
      </c>
      <c r="W337" s="36">
        <v>0</v>
      </c>
      <c r="X337" s="29">
        <v>1</v>
      </c>
      <c r="Y337" s="36">
        <v>0</v>
      </c>
      <c r="Z337" s="35">
        <v>0</v>
      </c>
      <c r="AA337" s="36">
        <v>0</v>
      </c>
      <c r="AB337" s="36">
        <v>0</v>
      </c>
      <c r="AC337" s="35">
        <v>0</v>
      </c>
    </row>
    <row r="338" spans="1:29" x14ac:dyDescent="0.3">
      <c r="A338" s="21" t="s">
        <v>119</v>
      </c>
      <c r="B338" s="35">
        <v>0</v>
      </c>
      <c r="C338" s="36">
        <v>0</v>
      </c>
      <c r="D338" s="35">
        <v>0</v>
      </c>
      <c r="E338" s="36">
        <v>0</v>
      </c>
      <c r="F338" s="36">
        <v>0</v>
      </c>
      <c r="G338" s="35">
        <v>0</v>
      </c>
      <c r="H338" s="36">
        <v>0</v>
      </c>
      <c r="I338" s="35">
        <v>0</v>
      </c>
      <c r="J338" s="36">
        <v>0</v>
      </c>
      <c r="K338" s="36">
        <v>0</v>
      </c>
      <c r="L338" s="35">
        <v>0</v>
      </c>
      <c r="M338" s="36">
        <v>0</v>
      </c>
      <c r="N338" s="35">
        <v>0</v>
      </c>
      <c r="O338" s="35">
        <v>0</v>
      </c>
      <c r="P338" s="35">
        <v>0</v>
      </c>
      <c r="Q338" s="36">
        <v>0</v>
      </c>
      <c r="R338" s="35">
        <v>0</v>
      </c>
      <c r="S338" s="35">
        <v>0</v>
      </c>
      <c r="T338" s="36">
        <v>0</v>
      </c>
      <c r="U338" s="35">
        <v>0</v>
      </c>
      <c r="V338" s="36">
        <v>0</v>
      </c>
      <c r="W338" s="36">
        <v>0</v>
      </c>
      <c r="X338" s="35">
        <v>0</v>
      </c>
      <c r="Y338" s="36">
        <v>0</v>
      </c>
      <c r="Z338" s="35">
        <v>0</v>
      </c>
      <c r="AA338" s="36">
        <v>0</v>
      </c>
      <c r="AB338" s="36">
        <v>0</v>
      </c>
      <c r="AC338" s="35">
        <v>0</v>
      </c>
    </row>
    <row r="339" spans="1:29" x14ac:dyDescent="0.3">
      <c r="A339" s="21" t="s">
        <v>428</v>
      </c>
      <c r="B339" s="35">
        <v>0</v>
      </c>
      <c r="C339" s="36">
        <v>0</v>
      </c>
      <c r="D339" s="35">
        <v>0</v>
      </c>
      <c r="E339" s="36">
        <v>0</v>
      </c>
      <c r="F339" s="36">
        <v>0</v>
      </c>
      <c r="G339" s="35">
        <v>0</v>
      </c>
      <c r="H339" s="36">
        <v>0</v>
      </c>
      <c r="I339" s="35">
        <v>0</v>
      </c>
      <c r="J339" s="36">
        <v>0</v>
      </c>
      <c r="K339" s="36">
        <v>0</v>
      </c>
      <c r="L339" s="35">
        <v>0</v>
      </c>
      <c r="M339" s="36">
        <v>0</v>
      </c>
      <c r="N339" s="35">
        <v>0</v>
      </c>
      <c r="O339" s="35">
        <v>0</v>
      </c>
      <c r="P339" s="35">
        <v>0</v>
      </c>
      <c r="Q339" s="36">
        <v>0</v>
      </c>
      <c r="R339" s="35">
        <v>0</v>
      </c>
      <c r="S339" s="35">
        <v>0</v>
      </c>
      <c r="T339" s="36">
        <v>0</v>
      </c>
      <c r="U339" s="35">
        <v>0</v>
      </c>
      <c r="V339" s="36">
        <v>0</v>
      </c>
      <c r="W339" s="36">
        <v>0</v>
      </c>
      <c r="X339" s="35">
        <v>0</v>
      </c>
      <c r="Y339" s="36">
        <v>0</v>
      </c>
      <c r="Z339" s="35">
        <v>0</v>
      </c>
      <c r="AA339" s="36">
        <v>0</v>
      </c>
      <c r="AB339" s="36">
        <v>0</v>
      </c>
      <c r="AC339" s="35">
        <v>0</v>
      </c>
    </row>
    <row r="340" spans="1:29" x14ac:dyDescent="0.3">
      <c r="A340" s="21" t="s">
        <v>429</v>
      </c>
      <c r="B340" s="35">
        <v>0</v>
      </c>
      <c r="C340" s="36">
        <v>0</v>
      </c>
      <c r="D340" s="35">
        <v>0</v>
      </c>
      <c r="E340" s="36">
        <v>0</v>
      </c>
      <c r="F340" s="36">
        <v>0</v>
      </c>
      <c r="G340" s="35">
        <v>0</v>
      </c>
      <c r="H340" s="36">
        <v>0</v>
      </c>
      <c r="I340" s="35">
        <v>0</v>
      </c>
      <c r="J340" s="36">
        <v>0</v>
      </c>
      <c r="K340" s="36">
        <v>0</v>
      </c>
      <c r="L340" s="35">
        <v>0</v>
      </c>
      <c r="M340" s="36">
        <v>0</v>
      </c>
      <c r="N340" s="35">
        <v>0</v>
      </c>
      <c r="O340" s="35">
        <v>0</v>
      </c>
      <c r="P340" s="35">
        <v>0</v>
      </c>
      <c r="Q340" s="36">
        <v>0</v>
      </c>
      <c r="R340" s="35">
        <v>0</v>
      </c>
      <c r="S340" s="35">
        <v>0</v>
      </c>
      <c r="T340" s="36">
        <v>0</v>
      </c>
      <c r="U340" s="35">
        <v>0</v>
      </c>
      <c r="V340" s="36">
        <v>0</v>
      </c>
      <c r="W340" s="36">
        <v>0</v>
      </c>
      <c r="X340" s="35">
        <v>0</v>
      </c>
      <c r="Y340" s="36">
        <v>0</v>
      </c>
      <c r="Z340" s="35">
        <v>0</v>
      </c>
      <c r="AA340" s="36">
        <v>0</v>
      </c>
      <c r="AB340" s="36">
        <v>0</v>
      </c>
      <c r="AC340" s="35">
        <v>0</v>
      </c>
    </row>
    <row r="341" spans="1:29" x14ac:dyDescent="0.3">
      <c r="A341" s="27" t="s">
        <v>430</v>
      </c>
      <c r="B341" s="35">
        <v>0</v>
      </c>
      <c r="C341" s="36">
        <v>0</v>
      </c>
      <c r="D341" s="29">
        <v>1</v>
      </c>
      <c r="E341" s="36">
        <v>0</v>
      </c>
      <c r="F341" s="36">
        <v>0</v>
      </c>
      <c r="G341" s="29">
        <v>1</v>
      </c>
      <c r="H341" s="34">
        <v>4</v>
      </c>
      <c r="I341" s="35">
        <v>0</v>
      </c>
      <c r="J341" s="34">
        <v>1</v>
      </c>
      <c r="K341" s="34">
        <v>5</v>
      </c>
      <c r="L341" s="35">
        <v>0</v>
      </c>
      <c r="M341" s="36">
        <v>0</v>
      </c>
      <c r="N341" s="35">
        <v>0</v>
      </c>
      <c r="O341" s="29">
        <v>1</v>
      </c>
      <c r="P341" s="35">
        <v>0</v>
      </c>
      <c r="Q341" s="34">
        <v>20</v>
      </c>
      <c r="R341" s="35">
        <v>0</v>
      </c>
      <c r="S341" s="35">
        <v>0</v>
      </c>
      <c r="T341" s="34">
        <v>1</v>
      </c>
      <c r="U341" s="35">
        <v>0</v>
      </c>
      <c r="V341" s="36">
        <v>0</v>
      </c>
      <c r="W341" s="34">
        <v>2</v>
      </c>
      <c r="X341" s="35">
        <v>0</v>
      </c>
      <c r="Y341" s="36">
        <v>0</v>
      </c>
      <c r="Z341" s="29">
        <v>1</v>
      </c>
      <c r="AA341" s="36">
        <v>0</v>
      </c>
      <c r="AB341" s="36">
        <v>0</v>
      </c>
      <c r="AC341" s="29">
        <v>1</v>
      </c>
    </row>
    <row r="342" spans="1:29" x14ac:dyDescent="0.3">
      <c r="A342" s="27" t="s">
        <v>431</v>
      </c>
      <c r="B342" s="35">
        <v>0</v>
      </c>
      <c r="C342" s="36">
        <v>0</v>
      </c>
      <c r="D342" s="35">
        <v>0</v>
      </c>
      <c r="E342" s="36">
        <v>0</v>
      </c>
      <c r="F342" s="36">
        <v>0</v>
      </c>
      <c r="G342" s="35">
        <v>0</v>
      </c>
      <c r="H342" s="36">
        <v>0</v>
      </c>
      <c r="I342" s="35">
        <v>0</v>
      </c>
      <c r="J342" s="36">
        <v>0</v>
      </c>
      <c r="K342" s="36">
        <v>0</v>
      </c>
      <c r="L342" s="35">
        <v>0</v>
      </c>
      <c r="M342" s="36">
        <v>0</v>
      </c>
      <c r="N342" s="35">
        <v>0</v>
      </c>
      <c r="O342" s="35">
        <v>0</v>
      </c>
      <c r="P342" s="35">
        <v>0</v>
      </c>
      <c r="Q342" s="36">
        <v>0</v>
      </c>
      <c r="R342" s="35">
        <v>0</v>
      </c>
      <c r="S342" s="35">
        <v>0</v>
      </c>
      <c r="T342" s="36">
        <v>0</v>
      </c>
      <c r="U342" s="35">
        <v>0</v>
      </c>
      <c r="V342" s="36">
        <v>0</v>
      </c>
      <c r="W342" s="36">
        <v>0</v>
      </c>
      <c r="X342" s="29">
        <v>8</v>
      </c>
      <c r="Y342" s="36">
        <v>0</v>
      </c>
      <c r="Z342" s="35">
        <v>0</v>
      </c>
      <c r="AA342" s="36">
        <v>0</v>
      </c>
      <c r="AB342" s="36">
        <v>0</v>
      </c>
      <c r="AC342" s="35">
        <v>0</v>
      </c>
    </row>
    <row r="343" spans="1:29" x14ac:dyDescent="0.3">
      <c r="A343" s="27" t="s">
        <v>432</v>
      </c>
      <c r="B343" s="35">
        <v>0</v>
      </c>
      <c r="C343" s="36">
        <v>0</v>
      </c>
      <c r="D343" s="35">
        <v>0</v>
      </c>
      <c r="E343" s="36">
        <v>0</v>
      </c>
      <c r="F343" s="36">
        <v>0</v>
      </c>
      <c r="G343" s="35">
        <v>0</v>
      </c>
      <c r="H343" s="36">
        <v>0</v>
      </c>
      <c r="I343" s="35">
        <v>0</v>
      </c>
      <c r="J343" s="36">
        <v>0</v>
      </c>
      <c r="K343" s="36">
        <v>0</v>
      </c>
      <c r="L343" s="35">
        <v>0</v>
      </c>
      <c r="M343" s="36">
        <v>0</v>
      </c>
      <c r="N343" s="35">
        <v>0</v>
      </c>
      <c r="O343" s="35">
        <v>0</v>
      </c>
      <c r="P343" s="35">
        <v>0</v>
      </c>
      <c r="Q343" s="36">
        <v>0</v>
      </c>
      <c r="R343" s="35">
        <v>0</v>
      </c>
      <c r="S343" s="35">
        <v>0</v>
      </c>
      <c r="T343" s="36">
        <v>0</v>
      </c>
      <c r="U343" s="35">
        <v>0</v>
      </c>
      <c r="V343" s="36">
        <v>0</v>
      </c>
      <c r="W343" s="36">
        <v>0</v>
      </c>
      <c r="X343" s="29">
        <v>1</v>
      </c>
      <c r="Y343" s="36">
        <v>0</v>
      </c>
      <c r="Z343" s="35">
        <v>0</v>
      </c>
      <c r="AA343" s="36">
        <v>0</v>
      </c>
      <c r="AB343" s="36">
        <v>0</v>
      </c>
      <c r="AC343" s="35">
        <v>0</v>
      </c>
    </row>
    <row r="344" spans="1:29" x14ac:dyDescent="0.3">
      <c r="A344" s="21" t="s">
        <v>433</v>
      </c>
      <c r="B344" s="35">
        <v>0</v>
      </c>
      <c r="C344" s="36">
        <v>0</v>
      </c>
      <c r="D344" s="35">
        <v>0</v>
      </c>
      <c r="E344" s="36">
        <v>0</v>
      </c>
      <c r="F344" s="36">
        <v>0</v>
      </c>
      <c r="G344" s="35">
        <v>0</v>
      </c>
      <c r="H344" s="36">
        <v>0</v>
      </c>
      <c r="I344" s="35">
        <v>0</v>
      </c>
      <c r="J344" s="36">
        <v>0</v>
      </c>
      <c r="K344" s="36">
        <v>0</v>
      </c>
      <c r="L344" s="35">
        <v>0</v>
      </c>
      <c r="M344" s="36">
        <v>0</v>
      </c>
      <c r="N344" s="35">
        <v>0</v>
      </c>
      <c r="O344" s="35">
        <v>0</v>
      </c>
      <c r="P344" s="29">
        <v>1</v>
      </c>
      <c r="Q344" s="36">
        <v>0</v>
      </c>
      <c r="R344" s="35">
        <v>0</v>
      </c>
      <c r="S344" s="35">
        <v>0</v>
      </c>
      <c r="T344" s="36">
        <v>0</v>
      </c>
      <c r="U344" s="35">
        <v>0</v>
      </c>
      <c r="V344" s="36">
        <v>0</v>
      </c>
      <c r="W344" s="36">
        <v>0</v>
      </c>
      <c r="X344" s="35">
        <v>0</v>
      </c>
      <c r="Y344" s="36">
        <v>0</v>
      </c>
      <c r="Z344" s="35">
        <v>0</v>
      </c>
      <c r="AA344" s="36">
        <v>0</v>
      </c>
      <c r="AB344" s="36">
        <v>0</v>
      </c>
      <c r="AC344" s="35">
        <v>0</v>
      </c>
    </row>
    <row r="345" spans="1:29" x14ac:dyDescent="0.3">
      <c r="A345" s="21" t="s">
        <v>434</v>
      </c>
      <c r="B345" s="35">
        <v>0</v>
      </c>
      <c r="C345" s="36">
        <v>0</v>
      </c>
      <c r="D345" s="35">
        <v>0</v>
      </c>
      <c r="E345" s="36">
        <v>0</v>
      </c>
      <c r="F345" s="36">
        <v>0</v>
      </c>
      <c r="G345" s="35">
        <v>0</v>
      </c>
      <c r="H345" s="36">
        <v>0</v>
      </c>
      <c r="I345" s="35">
        <v>0</v>
      </c>
      <c r="J345" s="36">
        <v>0</v>
      </c>
      <c r="K345" s="36">
        <v>0</v>
      </c>
      <c r="L345" s="35">
        <v>0</v>
      </c>
      <c r="M345" s="36">
        <v>0</v>
      </c>
      <c r="N345" s="35">
        <v>0</v>
      </c>
      <c r="O345" s="35">
        <v>0</v>
      </c>
      <c r="P345" s="35">
        <v>0</v>
      </c>
      <c r="Q345" s="36">
        <v>0</v>
      </c>
      <c r="R345" s="35">
        <v>0</v>
      </c>
      <c r="S345" s="29">
        <v>5</v>
      </c>
      <c r="T345" s="36">
        <v>0</v>
      </c>
      <c r="U345" s="35">
        <v>0</v>
      </c>
      <c r="V345" s="36">
        <v>0</v>
      </c>
      <c r="W345" s="36">
        <v>0</v>
      </c>
      <c r="X345" s="35">
        <v>0</v>
      </c>
      <c r="Y345" s="36">
        <v>0</v>
      </c>
      <c r="Z345" s="35">
        <v>0</v>
      </c>
      <c r="AA345" s="36">
        <v>0</v>
      </c>
      <c r="AB345" s="34">
        <v>2</v>
      </c>
      <c r="AC345" s="35">
        <v>0</v>
      </c>
    </row>
    <row r="346" spans="1:29" x14ac:dyDescent="0.3">
      <c r="A346" s="27" t="s">
        <v>435</v>
      </c>
      <c r="B346" s="35">
        <v>0</v>
      </c>
      <c r="C346" s="36">
        <v>0</v>
      </c>
      <c r="D346" s="29">
        <v>1</v>
      </c>
      <c r="E346" s="34">
        <v>50</v>
      </c>
      <c r="F346" s="34">
        <v>3</v>
      </c>
      <c r="G346" s="35">
        <v>0</v>
      </c>
      <c r="H346" s="36">
        <v>0</v>
      </c>
      <c r="I346" s="35">
        <v>0</v>
      </c>
      <c r="J346" s="34">
        <v>2</v>
      </c>
      <c r="K346" s="36">
        <v>0</v>
      </c>
      <c r="L346" s="35">
        <v>0</v>
      </c>
      <c r="M346" s="36">
        <v>0</v>
      </c>
      <c r="N346" s="35">
        <v>0</v>
      </c>
      <c r="O346" s="29">
        <v>1</v>
      </c>
      <c r="P346" s="29">
        <v>2</v>
      </c>
      <c r="Q346" s="36">
        <v>0</v>
      </c>
      <c r="R346" s="29">
        <v>1</v>
      </c>
      <c r="S346" s="29">
        <v>3</v>
      </c>
      <c r="T346" s="34">
        <v>1</v>
      </c>
      <c r="U346" s="29">
        <v>25</v>
      </c>
      <c r="V346" s="34">
        <v>2</v>
      </c>
      <c r="W346" s="36">
        <v>0</v>
      </c>
      <c r="X346" s="29">
        <v>5</v>
      </c>
      <c r="Y346" s="36">
        <v>0</v>
      </c>
      <c r="Z346" s="29">
        <v>1</v>
      </c>
      <c r="AA346" s="36">
        <v>0</v>
      </c>
      <c r="AB346" s="34">
        <v>2</v>
      </c>
      <c r="AC346" s="29">
        <v>29</v>
      </c>
    </row>
    <row r="347" spans="1:29" x14ac:dyDescent="0.3">
      <c r="A347" s="27" t="s">
        <v>436</v>
      </c>
      <c r="B347" s="29">
        <v>1</v>
      </c>
      <c r="C347" s="36">
        <v>0</v>
      </c>
      <c r="D347" s="29">
        <v>3</v>
      </c>
      <c r="E347" s="34">
        <v>3</v>
      </c>
      <c r="F347" s="34">
        <v>7</v>
      </c>
      <c r="G347" s="35">
        <v>0</v>
      </c>
      <c r="H347" s="36">
        <v>0</v>
      </c>
      <c r="I347" s="35">
        <v>0</v>
      </c>
      <c r="J347" s="34">
        <v>9</v>
      </c>
      <c r="K347" s="36">
        <v>0</v>
      </c>
      <c r="L347" s="35">
        <v>0</v>
      </c>
      <c r="M347" s="36">
        <v>0</v>
      </c>
      <c r="N347" s="35">
        <v>0</v>
      </c>
      <c r="O347" s="35">
        <v>0</v>
      </c>
      <c r="P347" s="35">
        <v>0</v>
      </c>
      <c r="Q347" s="36">
        <v>0</v>
      </c>
      <c r="R347" s="35">
        <v>0</v>
      </c>
      <c r="S347" s="35">
        <v>0</v>
      </c>
      <c r="T347" s="36">
        <v>0</v>
      </c>
      <c r="U347" s="35">
        <v>0</v>
      </c>
      <c r="V347" s="36">
        <v>0</v>
      </c>
      <c r="W347" s="36">
        <v>0</v>
      </c>
      <c r="X347" s="35">
        <v>0</v>
      </c>
      <c r="Y347" s="36">
        <v>0</v>
      </c>
      <c r="Z347" s="35">
        <v>0</v>
      </c>
      <c r="AA347" s="36">
        <v>0</v>
      </c>
      <c r="AB347" s="36">
        <v>0</v>
      </c>
      <c r="AC347" s="35">
        <v>0</v>
      </c>
    </row>
    <row r="348" spans="1:29" x14ac:dyDescent="0.3">
      <c r="A348" s="27" t="s">
        <v>437</v>
      </c>
      <c r="B348" s="35">
        <v>0</v>
      </c>
      <c r="C348" s="36">
        <v>0</v>
      </c>
      <c r="D348" s="35">
        <v>0</v>
      </c>
      <c r="E348" s="36">
        <v>0</v>
      </c>
      <c r="F348" s="36">
        <v>0</v>
      </c>
      <c r="G348" s="35">
        <v>0</v>
      </c>
      <c r="H348" s="36">
        <v>0</v>
      </c>
      <c r="I348" s="35">
        <v>0</v>
      </c>
      <c r="J348" s="36">
        <v>0</v>
      </c>
      <c r="K348" s="36">
        <v>0</v>
      </c>
      <c r="L348" s="35">
        <v>0</v>
      </c>
      <c r="M348" s="36">
        <v>0</v>
      </c>
      <c r="N348" s="35">
        <v>0</v>
      </c>
      <c r="O348" s="35">
        <v>0</v>
      </c>
      <c r="P348" s="35">
        <v>0</v>
      </c>
      <c r="Q348" s="36">
        <v>0</v>
      </c>
      <c r="R348" s="35">
        <v>0</v>
      </c>
      <c r="S348" s="35">
        <v>0</v>
      </c>
      <c r="T348" s="36">
        <v>0</v>
      </c>
      <c r="U348" s="35">
        <v>0</v>
      </c>
      <c r="V348" s="36">
        <v>0</v>
      </c>
      <c r="W348" s="36">
        <v>0</v>
      </c>
      <c r="X348" s="35">
        <v>0</v>
      </c>
      <c r="Y348" s="36">
        <v>0</v>
      </c>
      <c r="Z348" s="35">
        <v>0</v>
      </c>
      <c r="AA348" s="36">
        <v>0</v>
      </c>
      <c r="AB348" s="36">
        <v>0</v>
      </c>
      <c r="AC348" s="35">
        <v>0</v>
      </c>
    </row>
    <row r="349" spans="1:29" x14ac:dyDescent="0.3">
      <c r="A349" s="27" t="s">
        <v>438</v>
      </c>
      <c r="B349" s="35">
        <v>0</v>
      </c>
      <c r="C349" s="36">
        <v>0</v>
      </c>
      <c r="D349" s="35">
        <v>0</v>
      </c>
      <c r="E349" s="34">
        <v>1</v>
      </c>
      <c r="F349" s="36">
        <v>0</v>
      </c>
      <c r="G349" s="35">
        <v>0</v>
      </c>
      <c r="H349" s="36">
        <v>0</v>
      </c>
      <c r="I349" s="35">
        <v>0</v>
      </c>
      <c r="J349" s="36">
        <v>0</v>
      </c>
      <c r="K349" s="36">
        <v>0</v>
      </c>
      <c r="L349" s="35">
        <v>0</v>
      </c>
      <c r="M349" s="36">
        <v>0</v>
      </c>
      <c r="N349" s="35">
        <v>0</v>
      </c>
      <c r="O349" s="35">
        <v>0</v>
      </c>
      <c r="P349" s="35">
        <v>0</v>
      </c>
      <c r="Q349" s="36">
        <v>0</v>
      </c>
      <c r="R349" s="35">
        <v>0</v>
      </c>
      <c r="S349" s="35">
        <v>0</v>
      </c>
      <c r="T349" s="36">
        <v>0</v>
      </c>
      <c r="U349" s="35">
        <v>0</v>
      </c>
      <c r="V349" s="36">
        <v>0</v>
      </c>
      <c r="W349" s="36">
        <v>0</v>
      </c>
      <c r="X349" s="29">
        <v>1</v>
      </c>
      <c r="Y349" s="36">
        <v>0</v>
      </c>
      <c r="Z349" s="35">
        <v>0</v>
      </c>
      <c r="AA349" s="36">
        <v>0</v>
      </c>
      <c r="AB349" s="36">
        <v>0</v>
      </c>
      <c r="AC349" s="35">
        <v>0</v>
      </c>
    </row>
    <row r="350" spans="1:29" x14ac:dyDescent="0.3">
      <c r="A350" s="21" t="s">
        <v>439</v>
      </c>
      <c r="B350" s="35">
        <v>0</v>
      </c>
      <c r="C350" s="36">
        <v>0</v>
      </c>
      <c r="D350" s="35">
        <v>0</v>
      </c>
      <c r="E350" s="36">
        <v>0</v>
      </c>
      <c r="F350" s="36">
        <v>0</v>
      </c>
      <c r="G350" s="35">
        <v>0</v>
      </c>
      <c r="H350" s="36">
        <v>0</v>
      </c>
      <c r="I350" s="35">
        <v>0</v>
      </c>
      <c r="J350" s="36">
        <v>0</v>
      </c>
      <c r="K350" s="36">
        <v>0</v>
      </c>
      <c r="L350" s="35">
        <v>0</v>
      </c>
      <c r="M350" s="36">
        <v>0</v>
      </c>
      <c r="N350" s="35">
        <v>0</v>
      </c>
      <c r="O350" s="35">
        <v>0</v>
      </c>
      <c r="P350" s="35">
        <v>0</v>
      </c>
      <c r="Q350" s="34">
        <v>144</v>
      </c>
      <c r="R350" s="29">
        <v>64</v>
      </c>
      <c r="S350" s="29">
        <v>96</v>
      </c>
      <c r="T350" s="34">
        <v>5</v>
      </c>
      <c r="U350" s="29">
        <v>5</v>
      </c>
      <c r="V350" s="34">
        <v>2</v>
      </c>
      <c r="W350" s="36">
        <v>0</v>
      </c>
      <c r="X350" s="35">
        <v>0</v>
      </c>
      <c r="Y350" s="36">
        <v>0</v>
      </c>
      <c r="Z350" s="35">
        <v>0</v>
      </c>
      <c r="AA350" s="34">
        <v>4</v>
      </c>
      <c r="AB350" s="34">
        <v>73</v>
      </c>
      <c r="AC350" s="29">
        <v>1</v>
      </c>
    </row>
    <row r="351" spans="1:29" x14ac:dyDescent="0.3">
      <c r="A351" s="27" t="s">
        <v>440</v>
      </c>
      <c r="B351" s="35">
        <v>0</v>
      </c>
      <c r="C351" s="36">
        <v>0</v>
      </c>
      <c r="D351" s="35">
        <v>0</v>
      </c>
      <c r="E351" s="36">
        <v>0</v>
      </c>
      <c r="F351" s="36">
        <v>0</v>
      </c>
      <c r="G351" s="35">
        <v>0</v>
      </c>
      <c r="H351" s="36">
        <v>0</v>
      </c>
      <c r="I351" s="35">
        <v>0</v>
      </c>
      <c r="J351" s="36">
        <v>0</v>
      </c>
      <c r="K351" s="36">
        <v>0</v>
      </c>
      <c r="L351" s="35">
        <v>0</v>
      </c>
      <c r="M351" s="36">
        <v>0</v>
      </c>
      <c r="N351" s="35">
        <v>0</v>
      </c>
      <c r="O351" s="35">
        <v>0</v>
      </c>
      <c r="P351" s="35">
        <v>0</v>
      </c>
      <c r="Q351" s="36">
        <v>0</v>
      </c>
      <c r="R351" s="35">
        <v>0</v>
      </c>
      <c r="S351" s="35">
        <v>0</v>
      </c>
      <c r="T351" s="36">
        <v>0</v>
      </c>
      <c r="U351" s="35">
        <v>0</v>
      </c>
      <c r="V351" s="36">
        <v>0</v>
      </c>
      <c r="W351" s="36">
        <v>0</v>
      </c>
      <c r="X351" s="35">
        <v>0</v>
      </c>
      <c r="Y351" s="36">
        <v>0</v>
      </c>
      <c r="Z351" s="35">
        <v>0</v>
      </c>
      <c r="AA351" s="36">
        <v>0</v>
      </c>
      <c r="AB351" s="34">
        <v>1</v>
      </c>
      <c r="AC351" s="35">
        <v>0</v>
      </c>
    </row>
    <row r="352" spans="1:29" x14ac:dyDescent="0.3">
      <c r="A352" s="21" t="s">
        <v>441</v>
      </c>
      <c r="B352" s="29">
        <v>2</v>
      </c>
      <c r="C352" s="36">
        <v>0</v>
      </c>
      <c r="D352" s="29">
        <v>1</v>
      </c>
      <c r="E352" s="36">
        <v>0</v>
      </c>
      <c r="F352" s="34">
        <v>1</v>
      </c>
      <c r="G352" s="29">
        <v>5</v>
      </c>
      <c r="H352" s="34">
        <v>6</v>
      </c>
      <c r="I352" s="29">
        <v>16</v>
      </c>
      <c r="J352" s="34">
        <v>6</v>
      </c>
      <c r="K352" s="34">
        <v>5</v>
      </c>
      <c r="L352" s="29">
        <v>3</v>
      </c>
      <c r="M352" s="36">
        <v>0</v>
      </c>
      <c r="N352" s="35">
        <v>0</v>
      </c>
      <c r="O352" s="35">
        <v>0</v>
      </c>
      <c r="P352" s="29">
        <v>4</v>
      </c>
      <c r="Q352" s="36">
        <v>0</v>
      </c>
      <c r="R352" s="35">
        <v>0</v>
      </c>
      <c r="S352" s="35">
        <v>0</v>
      </c>
      <c r="T352" s="36">
        <v>0</v>
      </c>
      <c r="U352" s="35">
        <v>0</v>
      </c>
      <c r="V352" s="36">
        <v>0</v>
      </c>
      <c r="W352" s="36">
        <v>0</v>
      </c>
      <c r="X352" s="35">
        <v>0</v>
      </c>
      <c r="Y352" s="36">
        <v>0</v>
      </c>
      <c r="Z352" s="35">
        <v>0</v>
      </c>
      <c r="AA352" s="36">
        <v>0</v>
      </c>
      <c r="AB352" s="36">
        <v>0</v>
      </c>
      <c r="AC352" s="35">
        <v>0</v>
      </c>
    </row>
    <row r="353" spans="1:29" x14ac:dyDescent="0.3">
      <c r="A353" s="25" t="s">
        <v>442</v>
      </c>
      <c r="B353" s="24">
        <f t="shared" ref="B353:O353" si="0">SUM(B15:B352)</f>
        <v>310</v>
      </c>
      <c r="C353" s="23">
        <f t="shared" si="0"/>
        <v>307</v>
      </c>
      <c r="D353" s="24">
        <f t="shared" si="0"/>
        <v>321</v>
      </c>
      <c r="E353" s="23">
        <f t="shared" si="0"/>
        <v>370</v>
      </c>
      <c r="F353" s="23">
        <f t="shared" si="0"/>
        <v>714</v>
      </c>
      <c r="G353" s="24">
        <f t="shared" si="0"/>
        <v>594</v>
      </c>
      <c r="H353" s="23">
        <f t="shared" si="0"/>
        <v>440</v>
      </c>
      <c r="I353" s="24">
        <f t="shared" si="0"/>
        <v>317</v>
      </c>
      <c r="J353" s="23">
        <f t="shared" si="0"/>
        <v>805</v>
      </c>
      <c r="K353" s="23">
        <f t="shared" si="0"/>
        <v>333</v>
      </c>
      <c r="L353" s="24">
        <f t="shared" si="0"/>
        <v>441</v>
      </c>
      <c r="M353" s="23">
        <f t="shared" si="0"/>
        <v>315</v>
      </c>
      <c r="N353" s="24">
        <f t="shared" si="0"/>
        <v>347</v>
      </c>
      <c r="O353" s="24">
        <f t="shared" si="0"/>
        <v>357</v>
      </c>
      <c r="P353" s="24">
        <f t="shared" ref="P353:Q353" si="1">SUM(P15:P352)</f>
        <v>339</v>
      </c>
      <c r="Q353" s="23">
        <f t="shared" si="1"/>
        <v>256</v>
      </c>
      <c r="R353" s="24">
        <f t="shared" ref="R353:AC353" si="2">SUM(R15:R352)</f>
        <v>282</v>
      </c>
      <c r="S353" s="24">
        <f t="shared" si="2"/>
        <v>336</v>
      </c>
      <c r="T353" s="23">
        <f t="shared" si="2"/>
        <v>346</v>
      </c>
      <c r="U353" s="24">
        <f t="shared" si="2"/>
        <v>385</v>
      </c>
      <c r="V353" s="23">
        <f t="shared" si="2"/>
        <v>317</v>
      </c>
      <c r="W353" s="23">
        <f t="shared" si="2"/>
        <v>307</v>
      </c>
      <c r="X353" s="24">
        <f t="shared" si="2"/>
        <v>342</v>
      </c>
      <c r="Y353" s="23">
        <f t="shared" si="2"/>
        <v>301</v>
      </c>
      <c r="Z353" s="24">
        <f t="shared" si="2"/>
        <v>314</v>
      </c>
      <c r="AA353" s="23">
        <f t="shared" si="2"/>
        <v>213</v>
      </c>
      <c r="AB353" s="23">
        <f t="shared" si="2"/>
        <v>322</v>
      </c>
      <c r="AC353" s="24">
        <f t="shared" si="2"/>
        <v>356</v>
      </c>
    </row>
    <row r="355" spans="1:29" x14ac:dyDescent="0.3">
      <c r="A355" s="21" t="s">
        <v>443</v>
      </c>
    </row>
    <row r="357" spans="1:29" x14ac:dyDescent="0.3">
      <c r="A357" s="21" t="s">
        <v>121</v>
      </c>
      <c r="B357" s="35">
        <v>0</v>
      </c>
      <c r="C357" s="36">
        <v>0</v>
      </c>
      <c r="D357" s="35">
        <v>0</v>
      </c>
      <c r="E357" s="36">
        <v>0</v>
      </c>
      <c r="F357" s="36">
        <v>0</v>
      </c>
      <c r="G357" s="35">
        <v>0</v>
      </c>
      <c r="H357" s="36">
        <v>0</v>
      </c>
      <c r="I357" s="35">
        <v>0</v>
      </c>
      <c r="J357" s="36">
        <v>0</v>
      </c>
      <c r="K357" s="36">
        <v>0</v>
      </c>
      <c r="L357" s="35">
        <v>0</v>
      </c>
      <c r="M357" s="36">
        <v>0</v>
      </c>
      <c r="N357" s="35">
        <v>0</v>
      </c>
      <c r="O357" s="35">
        <v>0</v>
      </c>
      <c r="P357" s="35">
        <v>0</v>
      </c>
      <c r="Q357" s="36">
        <v>0</v>
      </c>
      <c r="R357" s="35">
        <v>0</v>
      </c>
      <c r="S357" s="35">
        <v>0</v>
      </c>
      <c r="T357" s="36">
        <v>0</v>
      </c>
      <c r="U357" s="35">
        <v>0</v>
      </c>
      <c r="V357" s="36">
        <v>0</v>
      </c>
      <c r="W357" s="36">
        <v>0</v>
      </c>
      <c r="X357" s="35">
        <v>0</v>
      </c>
      <c r="Y357" s="36">
        <v>0</v>
      </c>
      <c r="Z357" s="35">
        <v>0</v>
      </c>
      <c r="AA357" s="36">
        <v>0</v>
      </c>
      <c r="AB357" s="36">
        <v>0</v>
      </c>
      <c r="AC357" s="35">
        <v>0</v>
      </c>
    </row>
    <row r="358" spans="1:29" x14ac:dyDescent="0.3">
      <c r="A358" s="21" t="s">
        <v>365</v>
      </c>
      <c r="B358" s="35">
        <v>0</v>
      </c>
      <c r="C358" s="36">
        <v>0</v>
      </c>
      <c r="D358" s="35">
        <v>0</v>
      </c>
      <c r="E358" s="36">
        <v>0</v>
      </c>
      <c r="F358" s="36">
        <v>0</v>
      </c>
      <c r="G358" s="35">
        <v>0</v>
      </c>
      <c r="H358" s="36">
        <v>0</v>
      </c>
      <c r="I358" s="35">
        <v>0</v>
      </c>
      <c r="J358" s="36">
        <v>0</v>
      </c>
      <c r="K358" s="36">
        <v>0</v>
      </c>
      <c r="L358" s="35">
        <v>0</v>
      </c>
      <c r="M358" s="36">
        <v>0</v>
      </c>
      <c r="N358" s="35">
        <v>0</v>
      </c>
      <c r="O358" s="35">
        <v>0</v>
      </c>
      <c r="P358" s="35">
        <v>0</v>
      </c>
      <c r="Q358" s="36">
        <v>0</v>
      </c>
      <c r="R358" s="35">
        <v>0</v>
      </c>
      <c r="S358" s="35">
        <v>0</v>
      </c>
      <c r="T358" s="36">
        <v>0</v>
      </c>
      <c r="U358" s="35">
        <v>0</v>
      </c>
      <c r="V358" s="36">
        <v>0</v>
      </c>
      <c r="W358" s="36">
        <v>0</v>
      </c>
      <c r="X358" s="35">
        <v>0</v>
      </c>
      <c r="Y358" s="36">
        <v>0</v>
      </c>
      <c r="Z358" s="35">
        <v>0</v>
      </c>
      <c r="AA358" s="36">
        <v>0</v>
      </c>
      <c r="AB358" s="36">
        <v>0</v>
      </c>
      <c r="AC358" s="35">
        <v>0</v>
      </c>
    </row>
    <row r="359" spans="1:29" x14ac:dyDescent="0.3">
      <c r="A359" s="21" t="s">
        <v>444</v>
      </c>
      <c r="B359" s="35">
        <v>0</v>
      </c>
      <c r="C359" s="36">
        <v>0</v>
      </c>
      <c r="D359" s="35">
        <v>0</v>
      </c>
      <c r="E359" s="36">
        <v>0</v>
      </c>
      <c r="F359" s="36">
        <v>0</v>
      </c>
      <c r="G359" s="35">
        <v>0</v>
      </c>
      <c r="H359" s="36">
        <v>0</v>
      </c>
      <c r="I359" s="35">
        <v>0</v>
      </c>
      <c r="J359" s="36">
        <v>0</v>
      </c>
      <c r="K359" s="36">
        <v>0</v>
      </c>
      <c r="L359" s="35">
        <v>0</v>
      </c>
      <c r="M359" s="36">
        <v>0</v>
      </c>
      <c r="N359" s="35">
        <v>0</v>
      </c>
      <c r="O359" s="35">
        <v>0</v>
      </c>
      <c r="P359" s="35">
        <v>0</v>
      </c>
      <c r="Q359" s="36">
        <v>0</v>
      </c>
      <c r="R359" s="35">
        <v>0</v>
      </c>
      <c r="S359" s="35">
        <v>0</v>
      </c>
      <c r="T359" s="36">
        <v>0</v>
      </c>
      <c r="U359" s="35">
        <v>0</v>
      </c>
      <c r="V359" s="34">
        <v>1</v>
      </c>
      <c r="W359" s="36">
        <v>0</v>
      </c>
      <c r="X359" s="35">
        <v>0</v>
      </c>
      <c r="Y359" s="36">
        <v>0</v>
      </c>
      <c r="Z359" s="29">
        <v>1</v>
      </c>
      <c r="AA359" s="36">
        <v>0</v>
      </c>
      <c r="AB359" s="36">
        <v>0</v>
      </c>
      <c r="AC359" s="35">
        <v>0</v>
      </c>
    </row>
    <row r="360" spans="1:29" x14ac:dyDescent="0.3">
      <c r="A360" s="21" t="s">
        <v>445</v>
      </c>
      <c r="B360" s="35">
        <v>0</v>
      </c>
      <c r="C360" s="36">
        <v>0</v>
      </c>
      <c r="D360" s="35">
        <v>0</v>
      </c>
      <c r="E360" s="36">
        <v>0</v>
      </c>
      <c r="F360" s="36">
        <v>0</v>
      </c>
      <c r="G360" s="35">
        <v>0</v>
      </c>
      <c r="H360" s="36">
        <v>0</v>
      </c>
      <c r="I360" s="35">
        <v>0</v>
      </c>
      <c r="J360" s="36">
        <v>0</v>
      </c>
      <c r="K360" s="36">
        <v>0</v>
      </c>
      <c r="L360" s="35">
        <v>0</v>
      </c>
      <c r="M360" s="36">
        <v>0</v>
      </c>
      <c r="N360" s="35">
        <v>0</v>
      </c>
      <c r="O360" s="35">
        <v>0</v>
      </c>
      <c r="P360" s="35">
        <v>0</v>
      </c>
      <c r="Q360" s="36">
        <v>0</v>
      </c>
      <c r="R360" s="35">
        <v>0</v>
      </c>
      <c r="S360" s="35">
        <v>0</v>
      </c>
      <c r="T360" s="36">
        <v>0</v>
      </c>
      <c r="U360" s="35">
        <v>0</v>
      </c>
      <c r="V360" s="36">
        <v>0</v>
      </c>
      <c r="W360" s="36">
        <v>0</v>
      </c>
      <c r="X360" s="35">
        <v>0</v>
      </c>
      <c r="Y360" s="36">
        <v>0</v>
      </c>
      <c r="Z360" s="35">
        <v>0</v>
      </c>
      <c r="AA360" s="36">
        <v>0</v>
      </c>
      <c r="AB360" s="36">
        <v>0</v>
      </c>
      <c r="AC360" s="35">
        <v>0</v>
      </c>
    </row>
    <row r="361" spans="1:29" x14ac:dyDescent="0.3">
      <c r="A361" s="21" t="s">
        <v>446</v>
      </c>
      <c r="B361" s="35">
        <v>0</v>
      </c>
      <c r="C361" s="36">
        <v>0</v>
      </c>
      <c r="D361" s="35">
        <v>0</v>
      </c>
      <c r="E361" s="36">
        <v>0</v>
      </c>
      <c r="F361" s="36">
        <v>0</v>
      </c>
      <c r="G361" s="35">
        <v>0</v>
      </c>
      <c r="H361" s="36">
        <v>0</v>
      </c>
      <c r="I361" s="35">
        <v>0</v>
      </c>
      <c r="J361" s="36">
        <v>0</v>
      </c>
      <c r="K361" s="36">
        <v>0</v>
      </c>
      <c r="L361" s="35">
        <v>0</v>
      </c>
      <c r="M361" s="36">
        <v>0</v>
      </c>
      <c r="N361" s="35">
        <v>0</v>
      </c>
      <c r="O361" s="35">
        <v>0</v>
      </c>
      <c r="P361" s="35">
        <v>0</v>
      </c>
      <c r="Q361" s="36">
        <v>0</v>
      </c>
      <c r="R361" s="35">
        <v>0</v>
      </c>
      <c r="S361" s="35">
        <v>0</v>
      </c>
      <c r="T361" s="36">
        <v>0</v>
      </c>
      <c r="U361" s="35">
        <v>0</v>
      </c>
      <c r="V361" s="36">
        <v>0</v>
      </c>
      <c r="W361" s="36">
        <v>0</v>
      </c>
      <c r="X361" s="35">
        <v>0</v>
      </c>
      <c r="Y361" s="36">
        <v>0</v>
      </c>
      <c r="Z361" s="35">
        <v>0</v>
      </c>
      <c r="AA361" s="36">
        <v>0</v>
      </c>
      <c r="AB361" s="36">
        <v>0</v>
      </c>
      <c r="AC361" s="35">
        <v>0</v>
      </c>
    </row>
    <row r="362" spans="1:29" x14ac:dyDescent="0.3">
      <c r="A362" s="21" t="s">
        <v>447</v>
      </c>
      <c r="B362" s="35">
        <v>0</v>
      </c>
      <c r="C362" s="36">
        <v>0</v>
      </c>
      <c r="D362" s="35">
        <v>0</v>
      </c>
      <c r="E362" s="36">
        <v>0</v>
      </c>
      <c r="F362" s="36">
        <v>0</v>
      </c>
      <c r="G362" s="35">
        <v>0</v>
      </c>
      <c r="H362" s="36">
        <v>0</v>
      </c>
      <c r="I362" s="35">
        <v>0</v>
      </c>
      <c r="J362" s="36">
        <v>0</v>
      </c>
      <c r="K362" s="36">
        <v>0</v>
      </c>
      <c r="L362" s="35">
        <v>0</v>
      </c>
      <c r="M362" s="36">
        <v>0</v>
      </c>
      <c r="N362" s="35">
        <v>0</v>
      </c>
      <c r="O362" s="35">
        <v>0</v>
      </c>
      <c r="P362" s="35">
        <v>0</v>
      </c>
      <c r="Q362" s="36">
        <v>0</v>
      </c>
      <c r="R362" s="35">
        <v>0</v>
      </c>
      <c r="S362" s="35">
        <v>0</v>
      </c>
      <c r="T362" s="36">
        <v>0</v>
      </c>
      <c r="U362" s="35">
        <v>0</v>
      </c>
      <c r="V362" s="36">
        <v>0</v>
      </c>
      <c r="W362" s="36">
        <v>0</v>
      </c>
      <c r="X362" s="35">
        <v>0</v>
      </c>
      <c r="Y362" s="36">
        <v>0</v>
      </c>
      <c r="Z362" s="35">
        <v>0</v>
      </c>
      <c r="AA362" s="36">
        <v>0</v>
      </c>
      <c r="AB362" s="36">
        <v>0</v>
      </c>
      <c r="AC362" s="35">
        <v>0</v>
      </c>
    </row>
    <row r="363" spans="1:29" x14ac:dyDescent="0.3">
      <c r="A363" s="27" t="s">
        <v>448</v>
      </c>
      <c r="B363" s="35">
        <v>0</v>
      </c>
      <c r="C363" s="36">
        <v>0</v>
      </c>
      <c r="D363" s="35">
        <v>0</v>
      </c>
      <c r="E363" s="36">
        <v>0</v>
      </c>
      <c r="F363" s="36">
        <v>0</v>
      </c>
      <c r="G363" s="35">
        <v>0</v>
      </c>
      <c r="H363" s="36">
        <v>0</v>
      </c>
      <c r="I363" s="35">
        <v>0</v>
      </c>
      <c r="J363" s="36">
        <v>0</v>
      </c>
      <c r="K363" s="36">
        <v>0</v>
      </c>
      <c r="L363" s="35">
        <v>0</v>
      </c>
      <c r="M363" s="36">
        <v>0</v>
      </c>
      <c r="N363" s="35">
        <v>0</v>
      </c>
      <c r="O363" s="35">
        <v>0</v>
      </c>
      <c r="P363" s="35">
        <v>0</v>
      </c>
      <c r="Q363" s="36">
        <v>0</v>
      </c>
      <c r="R363" s="35">
        <v>0</v>
      </c>
      <c r="S363" s="35">
        <v>0</v>
      </c>
      <c r="T363" s="36">
        <v>0</v>
      </c>
      <c r="U363" s="35">
        <v>0</v>
      </c>
      <c r="V363" s="36">
        <v>0</v>
      </c>
      <c r="W363" s="36">
        <v>0</v>
      </c>
      <c r="X363" s="35">
        <v>0</v>
      </c>
      <c r="Y363" s="36">
        <v>0</v>
      </c>
      <c r="Z363" s="35">
        <v>0</v>
      </c>
      <c r="AA363" s="36">
        <v>0</v>
      </c>
      <c r="AB363" s="36">
        <v>0</v>
      </c>
      <c r="AC363" s="35">
        <v>0</v>
      </c>
    </row>
    <row r="364" spans="1:29" x14ac:dyDescent="0.3">
      <c r="A364" s="21" t="s">
        <v>119</v>
      </c>
      <c r="B364" s="35">
        <v>0</v>
      </c>
      <c r="C364" s="36">
        <v>0</v>
      </c>
      <c r="D364" s="35">
        <v>0</v>
      </c>
      <c r="E364" s="36">
        <v>0</v>
      </c>
      <c r="F364" s="36">
        <v>0</v>
      </c>
      <c r="G364" s="35">
        <v>0</v>
      </c>
      <c r="H364" s="36">
        <v>0</v>
      </c>
      <c r="I364" s="35">
        <v>0</v>
      </c>
      <c r="J364" s="36">
        <v>0</v>
      </c>
      <c r="K364" s="36">
        <v>0</v>
      </c>
      <c r="L364" s="35">
        <v>0</v>
      </c>
      <c r="M364" s="36">
        <v>0</v>
      </c>
      <c r="N364" s="35">
        <v>0</v>
      </c>
      <c r="O364" s="35">
        <v>0</v>
      </c>
      <c r="P364" s="35">
        <v>0</v>
      </c>
      <c r="Q364" s="36">
        <v>0</v>
      </c>
      <c r="R364" s="35">
        <v>0</v>
      </c>
      <c r="S364" s="35">
        <v>0</v>
      </c>
      <c r="T364" s="36">
        <v>0</v>
      </c>
      <c r="U364" s="35">
        <v>0</v>
      </c>
      <c r="V364" s="36">
        <v>0</v>
      </c>
      <c r="W364" s="36">
        <v>0</v>
      </c>
      <c r="X364" s="35">
        <v>0</v>
      </c>
      <c r="Y364" s="36">
        <v>0</v>
      </c>
      <c r="Z364" s="35">
        <v>0</v>
      </c>
      <c r="AA364" s="36">
        <v>0</v>
      </c>
      <c r="AB364" s="36">
        <v>0</v>
      </c>
      <c r="AC364" s="35">
        <v>0</v>
      </c>
    </row>
    <row r="365" spans="1:29" x14ac:dyDescent="0.3">
      <c r="A365" s="21" t="s">
        <v>449</v>
      </c>
      <c r="B365" s="35">
        <v>0</v>
      </c>
      <c r="C365" s="34">
        <v>1</v>
      </c>
      <c r="D365" s="29">
        <v>1</v>
      </c>
      <c r="E365" s="36">
        <v>0</v>
      </c>
      <c r="F365" s="36">
        <v>0</v>
      </c>
      <c r="G365" s="29">
        <v>1</v>
      </c>
      <c r="H365" s="34">
        <v>1</v>
      </c>
      <c r="I365" s="29">
        <v>1</v>
      </c>
      <c r="J365" s="36">
        <v>0</v>
      </c>
      <c r="K365" s="36">
        <v>0</v>
      </c>
      <c r="L365" s="29">
        <v>1</v>
      </c>
      <c r="M365" s="36">
        <v>0</v>
      </c>
      <c r="N365" s="29">
        <v>1</v>
      </c>
      <c r="O365" s="29">
        <v>1</v>
      </c>
      <c r="P365" s="35">
        <v>0</v>
      </c>
      <c r="Q365" s="34">
        <v>1</v>
      </c>
      <c r="R365" s="35">
        <v>0</v>
      </c>
      <c r="S365" s="35">
        <v>0</v>
      </c>
      <c r="T365" s="34">
        <v>1</v>
      </c>
      <c r="U365" s="35">
        <v>0</v>
      </c>
      <c r="V365" s="36">
        <v>0</v>
      </c>
      <c r="W365" s="36">
        <v>0</v>
      </c>
      <c r="X365" s="35">
        <v>0</v>
      </c>
      <c r="Y365" s="36">
        <v>0</v>
      </c>
      <c r="Z365" s="29">
        <v>1</v>
      </c>
      <c r="AA365" s="36">
        <v>0</v>
      </c>
      <c r="AB365" s="36">
        <v>0</v>
      </c>
      <c r="AC365" s="35">
        <v>0</v>
      </c>
    </row>
    <row r="366" spans="1:29" x14ac:dyDescent="0.3">
      <c r="A366" s="25" t="s">
        <v>442</v>
      </c>
      <c r="B366" s="24">
        <f t="shared" ref="B366:O366" si="3">SUM(B357:B365)</f>
        <v>0</v>
      </c>
      <c r="C366" s="23">
        <f t="shared" si="3"/>
        <v>1</v>
      </c>
      <c r="D366" s="24">
        <f t="shared" si="3"/>
        <v>1</v>
      </c>
      <c r="E366" s="23">
        <f t="shared" si="3"/>
        <v>0</v>
      </c>
      <c r="F366" s="23">
        <f t="shared" si="3"/>
        <v>0</v>
      </c>
      <c r="G366" s="24">
        <f t="shared" si="3"/>
        <v>1</v>
      </c>
      <c r="H366" s="23">
        <f t="shared" si="3"/>
        <v>1</v>
      </c>
      <c r="I366" s="24">
        <f t="shared" si="3"/>
        <v>1</v>
      </c>
      <c r="J366" s="23">
        <f t="shared" si="3"/>
        <v>0</v>
      </c>
      <c r="K366" s="23">
        <f t="shared" si="3"/>
        <v>0</v>
      </c>
      <c r="L366" s="24">
        <f t="shared" si="3"/>
        <v>1</v>
      </c>
      <c r="M366" s="23">
        <f t="shared" si="3"/>
        <v>0</v>
      </c>
      <c r="N366" s="24">
        <f t="shared" si="3"/>
        <v>1</v>
      </c>
      <c r="O366" s="24">
        <f t="shared" si="3"/>
        <v>1</v>
      </c>
      <c r="P366" s="24">
        <f t="shared" ref="P366:Q366" si="4">SUM(P357:P365)</f>
        <v>0</v>
      </c>
      <c r="Q366" s="23">
        <f t="shared" si="4"/>
        <v>1</v>
      </c>
      <c r="R366" s="24">
        <f t="shared" ref="R366:AC366" si="5">SUM(R357:R365)</f>
        <v>0</v>
      </c>
      <c r="S366" s="24">
        <f t="shared" si="5"/>
        <v>0</v>
      </c>
      <c r="T366" s="23">
        <f t="shared" si="5"/>
        <v>1</v>
      </c>
      <c r="U366" s="24">
        <f t="shared" si="5"/>
        <v>0</v>
      </c>
      <c r="V366" s="23">
        <f t="shared" si="5"/>
        <v>1</v>
      </c>
      <c r="W366" s="23">
        <f t="shared" si="5"/>
        <v>0</v>
      </c>
      <c r="X366" s="24">
        <f t="shared" si="5"/>
        <v>0</v>
      </c>
      <c r="Y366" s="23">
        <f t="shared" si="5"/>
        <v>0</v>
      </c>
      <c r="Z366" s="24">
        <f t="shared" si="5"/>
        <v>2</v>
      </c>
      <c r="AA366" s="23">
        <f t="shared" si="5"/>
        <v>0</v>
      </c>
      <c r="AB366" s="23">
        <f t="shared" si="5"/>
        <v>0</v>
      </c>
      <c r="AC366" s="24">
        <f t="shared" si="5"/>
        <v>0</v>
      </c>
    </row>
  </sheetData>
  <phoneticPr fontId="0" type="noConversion"/>
  <hyperlinks>
    <hyperlink ref="A5" r:id="rId1" xr:uid="{00000000-0004-0000-0200-000000000000}"/>
  </hyperlinks>
  <pageMargins left="0.7" right="0.7" top="0.75" bottom="0.75" header="0.3" footer="0.3"/>
  <pageSetup orientation="landscape" horizontalDpi="200" verticalDpi="200"/>
  <headerFooter alignWithMargins="0"/>
  <drawing r:id="rId2"/>
  <legacyDrawing r:id="rId3"/>
  <oleObjects>
    <mc:AlternateContent xmlns:mc="http://schemas.openxmlformats.org/markup-compatibility/2006">
      <mc:Choice Requires="x14">
        <oleObject progId="PhotoshopElements.Image.2" shapeId="921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1341120</xdr:colOff>
                <xdr:row>1</xdr:row>
                <xdr:rowOff>0</xdr:rowOff>
              </to>
            </anchor>
          </objectPr>
        </oleObject>
      </mc:Choice>
      <mc:Fallback>
        <oleObject progId="PhotoshopElements.Image.2" shapeId="9217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43"/>
  <sheetViews>
    <sheetView topLeftCell="A1228" workbookViewId="0">
      <selection activeCell="H1248" sqref="H1248"/>
    </sheetView>
  </sheetViews>
  <sheetFormatPr defaultColWidth="8.88671875" defaultRowHeight="14.4" x14ac:dyDescent="0.3"/>
  <cols>
    <col min="1" max="1" width="37.109375" customWidth="1"/>
    <col min="2" max="2" width="11" customWidth="1"/>
    <col min="3" max="3" width="8.44140625" customWidth="1"/>
    <col min="4" max="130" width="18.6640625" customWidth="1"/>
  </cols>
  <sheetData>
    <row r="1" spans="1:4" ht="39.75" customHeight="1" x14ac:dyDescent="0.3"/>
    <row r="2" spans="1:4" x14ac:dyDescent="0.3">
      <c r="A2" t="s">
        <v>85</v>
      </c>
    </row>
    <row r="3" spans="1:4" x14ac:dyDescent="0.3">
      <c r="A3" t="s">
        <v>86</v>
      </c>
    </row>
    <row r="4" spans="1:4" x14ac:dyDescent="0.3">
      <c r="A4" t="s">
        <v>65</v>
      </c>
    </row>
    <row r="5" spans="1:4" x14ac:dyDescent="0.3">
      <c r="A5" s="4" t="s">
        <v>62</v>
      </c>
    </row>
    <row r="6" spans="1:4" x14ac:dyDescent="0.3">
      <c r="A6" t="s">
        <v>63</v>
      </c>
    </row>
    <row r="7" spans="1:4" x14ac:dyDescent="0.3">
      <c r="A7" s="5"/>
    </row>
    <row r="9" spans="1:4" x14ac:dyDescent="0.3">
      <c r="A9" s="32" t="s">
        <v>475</v>
      </c>
      <c r="B9" s="32"/>
      <c r="C9" s="32"/>
      <c r="D9" s="32"/>
    </row>
    <row r="10" spans="1:4" x14ac:dyDescent="0.3">
      <c r="A10" t="s">
        <v>172</v>
      </c>
      <c r="B10" t="s">
        <v>457</v>
      </c>
      <c r="C10" s="34">
        <v>7</v>
      </c>
      <c r="D10" s="33" t="s">
        <v>119</v>
      </c>
    </row>
    <row r="11" spans="1:4" x14ac:dyDescent="0.3">
      <c r="A11" t="s">
        <v>174</v>
      </c>
      <c r="B11" t="s">
        <v>457</v>
      </c>
      <c r="C11" s="34">
        <v>3</v>
      </c>
      <c r="D11" s="33" t="s">
        <v>119</v>
      </c>
    </row>
    <row r="12" spans="1:4" x14ac:dyDescent="0.3">
      <c r="A12" t="s">
        <v>169</v>
      </c>
      <c r="B12" t="s">
        <v>457</v>
      </c>
      <c r="C12" s="34">
        <v>6</v>
      </c>
      <c r="D12" s="33" t="s">
        <v>119</v>
      </c>
    </row>
    <row r="13" spans="1:4" x14ac:dyDescent="0.3">
      <c r="A13" t="s">
        <v>139</v>
      </c>
      <c r="B13" t="s">
        <v>457</v>
      </c>
      <c r="C13" s="34">
        <v>82</v>
      </c>
      <c r="D13" s="33" t="s">
        <v>119</v>
      </c>
    </row>
    <row r="14" spans="1:4" x14ac:dyDescent="0.3">
      <c r="A14" t="s">
        <v>135</v>
      </c>
      <c r="B14" t="s">
        <v>457</v>
      </c>
      <c r="C14" s="34">
        <v>6</v>
      </c>
      <c r="D14" s="33" t="s">
        <v>119</v>
      </c>
    </row>
    <row r="15" spans="1:4" x14ac:dyDescent="0.3">
      <c r="A15" t="s">
        <v>134</v>
      </c>
      <c r="B15" t="s">
        <v>457</v>
      </c>
      <c r="C15" s="34">
        <v>3</v>
      </c>
      <c r="D15" s="33" t="s">
        <v>119</v>
      </c>
    </row>
    <row r="16" spans="1:4" x14ac:dyDescent="0.3">
      <c r="A16" t="s">
        <v>137</v>
      </c>
      <c r="B16" t="s">
        <v>457</v>
      </c>
      <c r="C16" s="34">
        <v>6</v>
      </c>
      <c r="D16" s="33" t="s">
        <v>119</v>
      </c>
    </row>
    <row r="17" spans="1:4" x14ac:dyDescent="0.3">
      <c r="A17" t="s">
        <v>474</v>
      </c>
      <c r="B17" t="s">
        <v>458</v>
      </c>
      <c r="C17" s="34">
        <v>1</v>
      </c>
      <c r="D17" s="33" t="s">
        <v>119</v>
      </c>
    </row>
    <row r="18" spans="1:4" x14ac:dyDescent="0.3">
      <c r="A18" t="s">
        <v>158</v>
      </c>
      <c r="B18" t="s">
        <v>457</v>
      </c>
      <c r="C18" s="34">
        <v>5</v>
      </c>
      <c r="D18" s="33" t="s">
        <v>119</v>
      </c>
    </row>
    <row r="19" spans="1:4" x14ac:dyDescent="0.3">
      <c r="A19" t="s">
        <v>450</v>
      </c>
      <c r="B19" t="s">
        <v>458</v>
      </c>
      <c r="C19" s="34">
        <v>8</v>
      </c>
      <c r="D19" s="33" t="s">
        <v>119</v>
      </c>
    </row>
    <row r="20" spans="1:4" x14ac:dyDescent="0.3">
      <c r="A20" t="s">
        <v>197</v>
      </c>
      <c r="B20" t="s">
        <v>457</v>
      </c>
      <c r="C20" s="34">
        <v>11</v>
      </c>
      <c r="D20" s="33" t="s">
        <v>119</v>
      </c>
    </row>
    <row r="21" spans="1:4" x14ac:dyDescent="0.3">
      <c r="A21" t="s">
        <v>459</v>
      </c>
      <c r="B21" t="s">
        <v>458</v>
      </c>
      <c r="C21" s="34">
        <v>1</v>
      </c>
      <c r="D21" s="33" t="s">
        <v>119</v>
      </c>
    </row>
    <row r="22" spans="1:4" x14ac:dyDescent="0.3">
      <c r="A22" t="s">
        <v>183</v>
      </c>
      <c r="B22" t="s">
        <v>457</v>
      </c>
      <c r="C22" s="34">
        <v>13</v>
      </c>
      <c r="D22" s="33" t="s">
        <v>119</v>
      </c>
    </row>
    <row r="23" spans="1:4" x14ac:dyDescent="0.3">
      <c r="A23" t="s">
        <v>476</v>
      </c>
      <c r="B23" t="s">
        <v>458</v>
      </c>
      <c r="C23" s="34">
        <v>3</v>
      </c>
      <c r="D23" s="33" t="s">
        <v>119</v>
      </c>
    </row>
    <row r="24" spans="1:4" x14ac:dyDescent="0.3">
      <c r="A24" t="s">
        <v>244</v>
      </c>
      <c r="B24" t="s">
        <v>457</v>
      </c>
      <c r="C24" s="34">
        <v>8</v>
      </c>
      <c r="D24" s="33" t="s">
        <v>119</v>
      </c>
    </row>
    <row r="25" spans="1:4" x14ac:dyDescent="0.3">
      <c r="A25" t="s">
        <v>220</v>
      </c>
      <c r="B25" t="s">
        <v>457</v>
      </c>
      <c r="C25" s="34">
        <v>1</v>
      </c>
      <c r="D25" s="33" t="s">
        <v>119</v>
      </c>
    </row>
    <row r="26" spans="1:4" x14ac:dyDescent="0.3">
      <c r="A26" t="s">
        <v>258</v>
      </c>
      <c r="B26" t="s">
        <v>457</v>
      </c>
      <c r="C26" s="34">
        <v>4</v>
      </c>
      <c r="D26" s="33" t="s">
        <v>119</v>
      </c>
    </row>
    <row r="27" spans="1:4" x14ac:dyDescent="0.3">
      <c r="A27" t="s">
        <v>335</v>
      </c>
      <c r="B27" t="s">
        <v>457</v>
      </c>
      <c r="C27" s="34">
        <v>1</v>
      </c>
      <c r="D27" s="33" t="s">
        <v>119</v>
      </c>
    </row>
    <row r="28" spans="1:4" x14ac:dyDescent="0.3">
      <c r="A28" t="s">
        <v>343</v>
      </c>
      <c r="B28" t="s">
        <v>457</v>
      </c>
      <c r="C28" s="34">
        <v>4</v>
      </c>
      <c r="D28" s="33" t="s">
        <v>119</v>
      </c>
    </row>
    <row r="29" spans="1:4" x14ac:dyDescent="0.3">
      <c r="A29" t="s">
        <v>364</v>
      </c>
      <c r="B29" t="s">
        <v>457</v>
      </c>
      <c r="C29" s="34">
        <v>2</v>
      </c>
      <c r="D29" s="33" t="s">
        <v>119</v>
      </c>
    </row>
    <row r="30" spans="1:4" x14ac:dyDescent="0.3">
      <c r="A30" t="s">
        <v>395</v>
      </c>
      <c r="B30" t="s">
        <v>461</v>
      </c>
      <c r="C30" s="34">
        <v>14</v>
      </c>
      <c r="D30" s="33" t="s">
        <v>119</v>
      </c>
    </row>
    <row r="31" spans="1:4" x14ac:dyDescent="0.3">
      <c r="A31" t="s">
        <v>383</v>
      </c>
      <c r="B31" t="s">
        <v>461</v>
      </c>
      <c r="C31" s="34">
        <v>1</v>
      </c>
      <c r="D31" s="33" t="s">
        <v>119</v>
      </c>
    </row>
    <row r="32" spans="1:4" x14ac:dyDescent="0.3">
      <c r="A32" t="s">
        <v>462</v>
      </c>
      <c r="B32" t="s">
        <v>456</v>
      </c>
      <c r="C32" s="34">
        <v>2</v>
      </c>
      <c r="D32" s="33" t="s">
        <v>119</v>
      </c>
    </row>
    <row r="33" spans="1:4" x14ac:dyDescent="0.3">
      <c r="A33" t="s">
        <v>436</v>
      </c>
      <c r="B33" t="s">
        <v>456</v>
      </c>
      <c r="C33" s="34">
        <v>1</v>
      </c>
      <c r="D33" s="33" t="s">
        <v>119</v>
      </c>
    </row>
    <row r="34" spans="1:4" x14ac:dyDescent="0.3">
      <c r="A34" t="s">
        <v>195</v>
      </c>
      <c r="B34" t="s">
        <v>457</v>
      </c>
      <c r="C34" s="34">
        <v>1</v>
      </c>
      <c r="D34" s="33" t="s">
        <v>119</v>
      </c>
    </row>
    <row r="35" spans="1:4" x14ac:dyDescent="0.3">
      <c r="A35" t="s">
        <v>320</v>
      </c>
      <c r="B35" t="s">
        <v>456</v>
      </c>
      <c r="C35" s="34">
        <v>1</v>
      </c>
      <c r="D35" s="33" t="s">
        <v>119</v>
      </c>
    </row>
    <row r="36" spans="1:4" x14ac:dyDescent="0.3">
      <c r="A36" t="s">
        <v>317</v>
      </c>
      <c r="B36" t="s">
        <v>456</v>
      </c>
      <c r="C36" s="34">
        <v>33</v>
      </c>
      <c r="D36" s="33" t="s">
        <v>119</v>
      </c>
    </row>
    <row r="37" spans="1:4" x14ac:dyDescent="0.3">
      <c r="A37" t="s">
        <v>288</v>
      </c>
      <c r="B37" t="s">
        <v>456</v>
      </c>
      <c r="C37" s="34">
        <v>78</v>
      </c>
      <c r="D37" s="33" t="s">
        <v>119</v>
      </c>
    </row>
    <row r="38" spans="1:4" x14ac:dyDescent="0.3">
      <c r="A38" t="s">
        <v>308</v>
      </c>
      <c r="B38" t="s">
        <v>456</v>
      </c>
      <c r="C38" s="34">
        <v>2</v>
      </c>
      <c r="D38" s="33" t="s">
        <v>119</v>
      </c>
    </row>
    <row r="39" spans="1:4" x14ac:dyDescent="0.3">
      <c r="A39" t="s">
        <v>292</v>
      </c>
      <c r="B39" t="s">
        <v>456</v>
      </c>
      <c r="C39" s="34">
        <v>1</v>
      </c>
      <c r="D39" s="33" t="s">
        <v>119</v>
      </c>
    </row>
    <row r="40" spans="1:4" ht="15" thickBot="1" x14ac:dyDescent="0.35">
      <c r="A40" t="s">
        <v>477</v>
      </c>
      <c r="B40" t="s">
        <v>456</v>
      </c>
      <c r="C40" s="34">
        <v>1</v>
      </c>
      <c r="D40" s="33" t="s">
        <v>119</v>
      </c>
    </row>
    <row r="41" spans="1:4" x14ac:dyDescent="0.3">
      <c r="A41" s="25" t="s">
        <v>463</v>
      </c>
      <c r="B41" s="22"/>
      <c r="C41" s="23">
        <f>SUM(C10:C40)</f>
        <v>310</v>
      </c>
      <c r="D41" s="22"/>
    </row>
    <row r="43" spans="1:4" x14ac:dyDescent="0.3">
      <c r="A43" s="32" t="s">
        <v>478</v>
      </c>
      <c r="B43" s="32"/>
      <c r="C43" s="32"/>
      <c r="D43" s="32"/>
    </row>
    <row r="44" spans="1:4" x14ac:dyDescent="0.3">
      <c r="A44" t="s">
        <v>316</v>
      </c>
      <c r="B44" t="s">
        <v>456</v>
      </c>
      <c r="C44" s="34">
        <v>1</v>
      </c>
      <c r="D44" s="33" t="s">
        <v>119</v>
      </c>
    </row>
    <row r="45" spans="1:4" x14ac:dyDescent="0.3">
      <c r="A45" t="s">
        <v>308</v>
      </c>
      <c r="B45" t="s">
        <v>456</v>
      </c>
      <c r="C45" s="34">
        <v>18</v>
      </c>
      <c r="D45" s="33" t="s">
        <v>119</v>
      </c>
    </row>
    <row r="46" spans="1:4" x14ac:dyDescent="0.3">
      <c r="A46" t="s">
        <v>275</v>
      </c>
      <c r="B46" t="s">
        <v>456</v>
      </c>
      <c r="C46" s="34">
        <v>11</v>
      </c>
      <c r="D46" s="33" t="s">
        <v>119</v>
      </c>
    </row>
    <row r="47" spans="1:4" x14ac:dyDescent="0.3">
      <c r="A47" t="s">
        <v>297</v>
      </c>
      <c r="B47" t="s">
        <v>456</v>
      </c>
      <c r="C47" s="34">
        <v>3</v>
      </c>
      <c r="D47" s="33" t="s">
        <v>119</v>
      </c>
    </row>
    <row r="48" spans="1:4" x14ac:dyDescent="0.3">
      <c r="A48" t="s">
        <v>302</v>
      </c>
      <c r="B48" t="s">
        <v>456</v>
      </c>
      <c r="C48" s="34">
        <v>11</v>
      </c>
      <c r="D48" s="33" t="s">
        <v>119</v>
      </c>
    </row>
    <row r="49" spans="1:4" x14ac:dyDescent="0.3">
      <c r="A49" t="s">
        <v>317</v>
      </c>
      <c r="B49" t="s">
        <v>456</v>
      </c>
      <c r="C49" s="34">
        <v>32</v>
      </c>
      <c r="D49" s="33" t="s">
        <v>119</v>
      </c>
    </row>
    <row r="50" spans="1:4" x14ac:dyDescent="0.3">
      <c r="A50" t="s">
        <v>311</v>
      </c>
      <c r="B50" t="s">
        <v>456</v>
      </c>
      <c r="C50" s="34">
        <v>2</v>
      </c>
      <c r="D50" s="33" t="s">
        <v>119</v>
      </c>
    </row>
    <row r="51" spans="1:4" x14ac:dyDescent="0.3">
      <c r="A51" t="s">
        <v>305</v>
      </c>
      <c r="B51" t="s">
        <v>456</v>
      </c>
      <c r="C51" s="34">
        <v>1</v>
      </c>
      <c r="D51" s="33" t="s">
        <v>119</v>
      </c>
    </row>
    <row r="52" spans="1:4" x14ac:dyDescent="0.3">
      <c r="A52" t="s">
        <v>315</v>
      </c>
      <c r="B52" t="s">
        <v>456</v>
      </c>
      <c r="C52" s="34">
        <v>3</v>
      </c>
      <c r="D52" s="33" t="s">
        <v>119</v>
      </c>
    </row>
    <row r="53" spans="1:4" x14ac:dyDescent="0.3">
      <c r="A53" t="s">
        <v>329</v>
      </c>
      <c r="B53" t="s">
        <v>456</v>
      </c>
      <c r="C53" s="34">
        <v>9</v>
      </c>
      <c r="D53" s="33" t="s">
        <v>119</v>
      </c>
    </row>
    <row r="54" spans="1:4" x14ac:dyDescent="0.3">
      <c r="A54" t="s">
        <v>320</v>
      </c>
      <c r="B54" t="s">
        <v>456</v>
      </c>
      <c r="C54" s="34">
        <v>1</v>
      </c>
      <c r="D54" s="33" t="s">
        <v>119</v>
      </c>
    </row>
    <row r="55" spans="1:4" x14ac:dyDescent="0.3">
      <c r="A55" t="s">
        <v>284</v>
      </c>
      <c r="B55" t="s">
        <v>456</v>
      </c>
      <c r="C55" s="34">
        <v>4</v>
      </c>
      <c r="D55" s="33" t="s">
        <v>119</v>
      </c>
    </row>
    <row r="56" spans="1:4" x14ac:dyDescent="0.3">
      <c r="A56" t="s">
        <v>142</v>
      </c>
      <c r="B56" t="s">
        <v>457</v>
      </c>
      <c r="C56" s="34">
        <v>2</v>
      </c>
      <c r="D56" s="33" t="s">
        <v>119</v>
      </c>
    </row>
    <row r="57" spans="1:4" x14ac:dyDescent="0.3">
      <c r="A57" t="s">
        <v>132</v>
      </c>
      <c r="B57" t="s">
        <v>457</v>
      </c>
      <c r="C57" s="34">
        <v>24</v>
      </c>
      <c r="D57" s="33" t="s">
        <v>119</v>
      </c>
    </row>
    <row r="58" spans="1:4" x14ac:dyDescent="0.3">
      <c r="A58" t="s">
        <v>137</v>
      </c>
      <c r="B58" t="s">
        <v>457</v>
      </c>
      <c r="C58" s="34">
        <v>53</v>
      </c>
      <c r="D58" s="33" t="s">
        <v>119</v>
      </c>
    </row>
    <row r="59" spans="1:4" x14ac:dyDescent="0.3">
      <c r="A59" t="s">
        <v>139</v>
      </c>
      <c r="B59" t="s">
        <v>457</v>
      </c>
      <c r="C59" s="34">
        <v>8</v>
      </c>
      <c r="D59" s="33" t="s">
        <v>119</v>
      </c>
    </row>
    <row r="60" spans="1:4" x14ac:dyDescent="0.3">
      <c r="A60" t="s">
        <v>174</v>
      </c>
      <c r="B60" t="s">
        <v>457</v>
      </c>
      <c r="C60" s="34">
        <v>8</v>
      </c>
      <c r="D60" s="33" t="s">
        <v>119</v>
      </c>
    </row>
    <row r="61" spans="1:4" x14ac:dyDescent="0.3">
      <c r="A61" t="s">
        <v>149</v>
      </c>
      <c r="B61" t="s">
        <v>457</v>
      </c>
      <c r="C61" s="34">
        <v>3</v>
      </c>
      <c r="D61" s="33" t="s">
        <v>119</v>
      </c>
    </row>
    <row r="62" spans="1:4" x14ac:dyDescent="0.3">
      <c r="A62" t="s">
        <v>158</v>
      </c>
      <c r="B62" t="s">
        <v>457</v>
      </c>
      <c r="C62" s="34">
        <v>1</v>
      </c>
      <c r="D62" s="33" t="s">
        <v>119</v>
      </c>
    </row>
    <row r="63" spans="1:4" x14ac:dyDescent="0.3">
      <c r="A63" t="s">
        <v>258</v>
      </c>
      <c r="B63" t="s">
        <v>457</v>
      </c>
      <c r="C63" s="34">
        <v>2</v>
      </c>
      <c r="D63" s="33" t="s">
        <v>119</v>
      </c>
    </row>
    <row r="64" spans="1:4" x14ac:dyDescent="0.3">
      <c r="A64" t="s">
        <v>335</v>
      </c>
      <c r="B64" t="s">
        <v>457</v>
      </c>
      <c r="C64" s="34">
        <v>2</v>
      </c>
      <c r="D64" s="33" t="s">
        <v>119</v>
      </c>
    </row>
    <row r="65" spans="1:4" x14ac:dyDescent="0.3">
      <c r="A65" t="s">
        <v>479</v>
      </c>
      <c r="B65" t="s">
        <v>480</v>
      </c>
      <c r="C65" s="34">
        <v>1</v>
      </c>
      <c r="D65" s="33" t="s">
        <v>119</v>
      </c>
    </row>
    <row r="66" spans="1:4" x14ac:dyDescent="0.3">
      <c r="A66" t="s">
        <v>343</v>
      </c>
      <c r="B66" t="s">
        <v>457</v>
      </c>
      <c r="C66" s="34">
        <v>16</v>
      </c>
      <c r="D66" s="33" t="s">
        <v>119</v>
      </c>
    </row>
    <row r="67" spans="1:4" x14ac:dyDescent="0.3">
      <c r="A67" t="s">
        <v>220</v>
      </c>
      <c r="B67" t="s">
        <v>457</v>
      </c>
      <c r="C67" s="34">
        <v>2</v>
      </c>
      <c r="D67" s="33" t="s">
        <v>119</v>
      </c>
    </row>
    <row r="68" spans="1:4" x14ac:dyDescent="0.3">
      <c r="A68" t="s">
        <v>264</v>
      </c>
      <c r="B68" t="s">
        <v>457</v>
      </c>
      <c r="C68" s="34">
        <v>1</v>
      </c>
      <c r="D68" s="33" t="s">
        <v>119</v>
      </c>
    </row>
    <row r="69" spans="1:4" x14ac:dyDescent="0.3">
      <c r="A69" t="s">
        <v>481</v>
      </c>
      <c r="B69" t="s">
        <v>458</v>
      </c>
      <c r="C69" s="34">
        <v>1</v>
      </c>
      <c r="D69" s="33" t="s">
        <v>119</v>
      </c>
    </row>
    <row r="70" spans="1:4" x14ac:dyDescent="0.3">
      <c r="A70" t="s">
        <v>482</v>
      </c>
      <c r="B70" t="s">
        <v>480</v>
      </c>
      <c r="C70" s="34">
        <v>1</v>
      </c>
      <c r="D70" s="33" t="s">
        <v>119</v>
      </c>
    </row>
    <row r="71" spans="1:4" x14ac:dyDescent="0.3">
      <c r="A71" t="s">
        <v>222</v>
      </c>
      <c r="B71" t="s">
        <v>457</v>
      </c>
      <c r="C71" s="34">
        <v>1</v>
      </c>
      <c r="D71" s="33" t="s">
        <v>119</v>
      </c>
    </row>
    <row r="72" spans="1:4" x14ac:dyDescent="0.3">
      <c r="A72" t="s">
        <v>483</v>
      </c>
      <c r="B72" t="s">
        <v>458</v>
      </c>
      <c r="C72" s="34">
        <v>3</v>
      </c>
      <c r="D72" s="33" t="s">
        <v>119</v>
      </c>
    </row>
    <row r="73" spans="1:4" x14ac:dyDescent="0.3">
      <c r="A73" t="s">
        <v>395</v>
      </c>
      <c r="B73" t="s">
        <v>461</v>
      </c>
      <c r="C73" s="34">
        <v>5</v>
      </c>
      <c r="D73" s="33" t="s">
        <v>119</v>
      </c>
    </row>
    <row r="74" spans="1:4" x14ac:dyDescent="0.3">
      <c r="A74" t="s">
        <v>468</v>
      </c>
      <c r="B74" t="s">
        <v>458</v>
      </c>
      <c r="C74" s="34">
        <v>1</v>
      </c>
      <c r="D74" s="33" t="s">
        <v>119</v>
      </c>
    </row>
    <row r="75" spans="1:4" x14ac:dyDescent="0.3">
      <c r="A75" t="s">
        <v>382</v>
      </c>
      <c r="B75" t="s">
        <v>461</v>
      </c>
      <c r="C75" s="34">
        <v>1</v>
      </c>
      <c r="D75" s="33" t="s">
        <v>119</v>
      </c>
    </row>
    <row r="76" spans="1:4" x14ac:dyDescent="0.3">
      <c r="A76" t="s">
        <v>410</v>
      </c>
      <c r="B76" t="s">
        <v>456</v>
      </c>
      <c r="C76" s="34">
        <v>1</v>
      </c>
      <c r="D76" s="33" t="s">
        <v>119</v>
      </c>
    </row>
    <row r="77" spans="1:4" x14ac:dyDescent="0.3">
      <c r="A77" t="s">
        <v>470</v>
      </c>
      <c r="B77" t="s">
        <v>456</v>
      </c>
      <c r="C77" s="34">
        <v>1</v>
      </c>
      <c r="D77" s="33" t="s">
        <v>119</v>
      </c>
    </row>
    <row r="78" spans="1:4" x14ac:dyDescent="0.3">
      <c r="A78" t="s">
        <v>255</v>
      </c>
      <c r="B78" t="s">
        <v>461</v>
      </c>
      <c r="C78" s="34">
        <v>1</v>
      </c>
      <c r="D78" s="33" t="s">
        <v>119</v>
      </c>
    </row>
    <row r="79" spans="1:4" x14ac:dyDescent="0.3">
      <c r="A79" t="s">
        <v>473</v>
      </c>
      <c r="B79" t="s">
        <v>456</v>
      </c>
      <c r="C79" s="34">
        <v>1</v>
      </c>
      <c r="D79" s="33" t="s">
        <v>119</v>
      </c>
    </row>
    <row r="80" spans="1:4" x14ac:dyDescent="0.3">
      <c r="A80" t="s">
        <v>474</v>
      </c>
      <c r="B80" t="s">
        <v>458</v>
      </c>
      <c r="C80" s="34">
        <v>28</v>
      </c>
      <c r="D80" s="33" t="s">
        <v>119</v>
      </c>
    </row>
    <row r="81" spans="1:4" x14ac:dyDescent="0.3">
      <c r="A81" t="s">
        <v>451</v>
      </c>
      <c r="B81" t="s">
        <v>458</v>
      </c>
      <c r="C81" s="34">
        <v>1</v>
      </c>
      <c r="D81" s="33" t="s">
        <v>119</v>
      </c>
    </row>
    <row r="82" spans="1:4" x14ac:dyDescent="0.3">
      <c r="A82" t="s">
        <v>450</v>
      </c>
      <c r="B82" t="s">
        <v>458</v>
      </c>
      <c r="C82" s="34">
        <v>41</v>
      </c>
      <c r="D82" s="33" t="s">
        <v>119</v>
      </c>
    </row>
    <row r="83" spans="1:4" ht="15" thickBot="1" x14ac:dyDescent="0.35">
      <c r="A83" t="s">
        <v>454</v>
      </c>
      <c r="B83" t="s">
        <v>458</v>
      </c>
      <c r="C83" s="34">
        <v>1</v>
      </c>
      <c r="D83" s="33" t="s">
        <v>119</v>
      </c>
    </row>
    <row r="84" spans="1:4" x14ac:dyDescent="0.3">
      <c r="A84" s="25" t="s">
        <v>463</v>
      </c>
      <c r="B84" s="22"/>
      <c r="C84" s="23">
        <f>SUM(C44:C83)</f>
        <v>307</v>
      </c>
      <c r="D84" s="22"/>
    </row>
    <row r="86" spans="1:4" x14ac:dyDescent="0.3">
      <c r="A86" s="32" t="s">
        <v>484</v>
      </c>
      <c r="B86" s="32"/>
      <c r="C86" s="32"/>
      <c r="D86" s="32"/>
    </row>
    <row r="87" spans="1:4" x14ac:dyDescent="0.3">
      <c r="A87" t="s">
        <v>451</v>
      </c>
      <c r="B87" t="s">
        <v>458</v>
      </c>
      <c r="C87" s="34">
        <v>1</v>
      </c>
      <c r="D87" s="33" t="s">
        <v>119</v>
      </c>
    </row>
    <row r="88" spans="1:4" x14ac:dyDescent="0.3">
      <c r="A88" t="s">
        <v>450</v>
      </c>
      <c r="B88" t="s">
        <v>458</v>
      </c>
      <c r="C88" s="34">
        <v>14</v>
      </c>
      <c r="D88" s="33" t="s">
        <v>119</v>
      </c>
    </row>
    <row r="89" spans="1:4" x14ac:dyDescent="0.3">
      <c r="A89" t="s">
        <v>459</v>
      </c>
      <c r="B89" t="s">
        <v>458</v>
      </c>
      <c r="C89" s="34">
        <v>2</v>
      </c>
      <c r="D89" s="33" t="s">
        <v>119</v>
      </c>
    </row>
    <row r="90" spans="1:4" x14ac:dyDescent="0.3">
      <c r="A90" t="s">
        <v>137</v>
      </c>
      <c r="B90" t="s">
        <v>457</v>
      </c>
      <c r="C90" s="34">
        <v>15</v>
      </c>
      <c r="D90" s="33" t="s">
        <v>119</v>
      </c>
    </row>
    <row r="91" spans="1:4" x14ac:dyDescent="0.3">
      <c r="A91" t="s">
        <v>174</v>
      </c>
      <c r="B91" t="s">
        <v>457</v>
      </c>
      <c r="C91" s="34">
        <v>10</v>
      </c>
      <c r="D91" s="33" t="s">
        <v>119</v>
      </c>
    </row>
    <row r="92" spans="1:4" x14ac:dyDescent="0.3">
      <c r="A92" t="s">
        <v>132</v>
      </c>
      <c r="B92" t="s">
        <v>457</v>
      </c>
      <c r="C92" s="34">
        <v>10</v>
      </c>
      <c r="D92" s="33" t="s">
        <v>119</v>
      </c>
    </row>
    <row r="93" spans="1:4" x14ac:dyDescent="0.3">
      <c r="A93" t="s">
        <v>139</v>
      </c>
      <c r="B93" t="s">
        <v>457</v>
      </c>
      <c r="C93" s="34">
        <v>2</v>
      </c>
      <c r="D93" s="33" t="s">
        <v>119</v>
      </c>
    </row>
    <row r="94" spans="1:4" x14ac:dyDescent="0.3">
      <c r="A94" t="s">
        <v>134</v>
      </c>
      <c r="B94" t="s">
        <v>457</v>
      </c>
      <c r="C94" s="34">
        <v>14</v>
      </c>
      <c r="D94" s="33" t="s">
        <v>119</v>
      </c>
    </row>
    <row r="95" spans="1:4" x14ac:dyDescent="0.3">
      <c r="A95" t="s">
        <v>474</v>
      </c>
      <c r="B95" t="s">
        <v>458</v>
      </c>
      <c r="C95" s="34">
        <v>6</v>
      </c>
      <c r="D95" s="33" t="s">
        <v>119</v>
      </c>
    </row>
    <row r="96" spans="1:4" x14ac:dyDescent="0.3">
      <c r="A96" t="s">
        <v>215</v>
      </c>
      <c r="B96" t="s">
        <v>457</v>
      </c>
      <c r="C96" s="34">
        <v>2</v>
      </c>
      <c r="D96" s="33" t="s">
        <v>119</v>
      </c>
    </row>
    <row r="97" spans="1:4" x14ac:dyDescent="0.3">
      <c r="A97" t="s">
        <v>222</v>
      </c>
      <c r="B97" t="s">
        <v>457</v>
      </c>
      <c r="C97" s="34">
        <v>1</v>
      </c>
      <c r="D97" s="33" t="s">
        <v>119</v>
      </c>
    </row>
    <row r="98" spans="1:4" x14ac:dyDescent="0.3">
      <c r="A98" t="s">
        <v>220</v>
      </c>
      <c r="B98" t="s">
        <v>457</v>
      </c>
      <c r="C98" s="34">
        <v>2</v>
      </c>
      <c r="D98" s="33" t="s">
        <v>119</v>
      </c>
    </row>
    <row r="99" spans="1:4" x14ac:dyDescent="0.3">
      <c r="A99" t="s">
        <v>472</v>
      </c>
      <c r="B99" t="s">
        <v>458</v>
      </c>
      <c r="C99" s="34">
        <v>1</v>
      </c>
      <c r="D99" s="33" t="s">
        <v>119</v>
      </c>
    </row>
    <row r="100" spans="1:4" x14ac:dyDescent="0.3">
      <c r="A100" t="s">
        <v>239</v>
      </c>
      <c r="B100" t="s">
        <v>457</v>
      </c>
      <c r="C100" s="34">
        <v>4</v>
      </c>
      <c r="D100" s="33" t="s">
        <v>119</v>
      </c>
    </row>
    <row r="101" spans="1:4" x14ac:dyDescent="0.3">
      <c r="A101" t="s">
        <v>352</v>
      </c>
      <c r="B101" t="s">
        <v>457</v>
      </c>
      <c r="C101" s="34">
        <v>2</v>
      </c>
      <c r="D101" s="33" t="s">
        <v>119</v>
      </c>
    </row>
    <row r="102" spans="1:4" x14ac:dyDescent="0.3">
      <c r="A102" t="s">
        <v>258</v>
      </c>
      <c r="B102" t="s">
        <v>457</v>
      </c>
      <c r="C102" s="34">
        <v>2</v>
      </c>
      <c r="D102" s="33" t="s">
        <v>119</v>
      </c>
    </row>
    <row r="103" spans="1:4" x14ac:dyDescent="0.3">
      <c r="A103" t="s">
        <v>335</v>
      </c>
      <c r="B103" t="s">
        <v>457</v>
      </c>
      <c r="C103" s="34">
        <v>6</v>
      </c>
      <c r="D103" s="33" t="s">
        <v>119</v>
      </c>
    </row>
    <row r="104" spans="1:4" x14ac:dyDescent="0.3">
      <c r="A104" t="s">
        <v>454</v>
      </c>
      <c r="B104" t="s">
        <v>458</v>
      </c>
      <c r="C104" s="34">
        <v>1</v>
      </c>
      <c r="D104" s="33" t="s">
        <v>119</v>
      </c>
    </row>
    <row r="105" spans="1:4" x14ac:dyDescent="0.3">
      <c r="A105" t="s">
        <v>343</v>
      </c>
      <c r="B105" t="s">
        <v>457</v>
      </c>
      <c r="C105" s="34">
        <v>27</v>
      </c>
      <c r="D105" s="33" t="s">
        <v>119</v>
      </c>
    </row>
    <row r="106" spans="1:4" x14ac:dyDescent="0.3">
      <c r="A106" t="s">
        <v>265</v>
      </c>
      <c r="B106" t="s">
        <v>457</v>
      </c>
      <c r="C106" s="34">
        <v>1</v>
      </c>
      <c r="D106" s="33" t="s">
        <v>119</v>
      </c>
    </row>
    <row r="107" spans="1:4" x14ac:dyDescent="0.3">
      <c r="A107" t="s">
        <v>410</v>
      </c>
      <c r="B107" t="s">
        <v>456</v>
      </c>
      <c r="C107" s="34">
        <v>1</v>
      </c>
      <c r="D107" s="33" t="s">
        <v>119</v>
      </c>
    </row>
    <row r="108" spans="1:4" x14ac:dyDescent="0.3">
      <c r="A108" t="s">
        <v>470</v>
      </c>
      <c r="B108" t="s">
        <v>456</v>
      </c>
      <c r="C108" s="34">
        <v>2</v>
      </c>
      <c r="D108" s="33" t="s">
        <v>119</v>
      </c>
    </row>
    <row r="109" spans="1:4" x14ac:dyDescent="0.3">
      <c r="A109" t="s">
        <v>415</v>
      </c>
      <c r="B109" t="s">
        <v>456</v>
      </c>
      <c r="C109" s="34">
        <v>9</v>
      </c>
      <c r="D109" s="33" t="s">
        <v>119</v>
      </c>
    </row>
    <row r="110" spans="1:4" x14ac:dyDescent="0.3">
      <c r="A110" t="s">
        <v>453</v>
      </c>
      <c r="B110" t="s">
        <v>456</v>
      </c>
      <c r="C110" s="34">
        <v>6</v>
      </c>
      <c r="D110" s="33" t="s">
        <v>119</v>
      </c>
    </row>
    <row r="111" spans="1:4" x14ac:dyDescent="0.3">
      <c r="A111" t="s">
        <v>395</v>
      </c>
      <c r="B111" t="s">
        <v>461</v>
      </c>
      <c r="C111" s="34">
        <v>8</v>
      </c>
      <c r="D111" s="33" t="s">
        <v>119</v>
      </c>
    </row>
    <row r="112" spans="1:4" x14ac:dyDescent="0.3">
      <c r="A112" t="s">
        <v>385</v>
      </c>
      <c r="B112" t="s">
        <v>461</v>
      </c>
      <c r="C112" s="34">
        <v>1</v>
      </c>
      <c r="D112" s="33" t="s">
        <v>119</v>
      </c>
    </row>
    <row r="113" spans="1:4" x14ac:dyDescent="0.3">
      <c r="A113" t="s">
        <v>392</v>
      </c>
      <c r="B113" t="s">
        <v>461</v>
      </c>
      <c r="C113" s="34">
        <v>1</v>
      </c>
      <c r="D113" s="33" t="s">
        <v>119</v>
      </c>
    </row>
    <row r="114" spans="1:4" x14ac:dyDescent="0.3">
      <c r="A114" t="s">
        <v>382</v>
      </c>
      <c r="B114" t="s">
        <v>461</v>
      </c>
      <c r="C114" s="34">
        <v>2</v>
      </c>
      <c r="D114" s="33" t="s">
        <v>119</v>
      </c>
    </row>
    <row r="115" spans="1:4" x14ac:dyDescent="0.3">
      <c r="A115" t="s">
        <v>198</v>
      </c>
      <c r="B115" t="s">
        <v>457</v>
      </c>
      <c r="C115" s="34">
        <v>1</v>
      </c>
      <c r="D115" s="33" t="s">
        <v>119</v>
      </c>
    </row>
    <row r="116" spans="1:4" x14ac:dyDescent="0.3">
      <c r="A116" t="s">
        <v>373</v>
      </c>
      <c r="B116" t="s">
        <v>456</v>
      </c>
      <c r="C116" s="34">
        <v>1</v>
      </c>
      <c r="D116" s="33" t="s">
        <v>119</v>
      </c>
    </row>
    <row r="117" spans="1:4" x14ac:dyDescent="0.3">
      <c r="A117" t="s">
        <v>468</v>
      </c>
      <c r="B117" t="s">
        <v>458</v>
      </c>
      <c r="C117" s="34">
        <v>1</v>
      </c>
      <c r="D117" s="33" t="s">
        <v>119</v>
      </c>
    </row>
    <row r="118" spans="1:4" x14ac:dyDescent="0.3">
      <c r="A118" t="s">
        <v>364</v>
      </c>
      <c r="B118" t="s">
        <v>457</v>
      </c>
      <c r="C118" s="34">
        <v>11</v>
      </c>
      <c r="D118" s="33" t="s">
        <v>119</v>
      </c>
    </row>
    <row r="119" spans="1:4" x14ac:dyDescent="0.3">
      <c r="A119" t="s">
        <v>462</v>
      </c>
      <c r="B119" t="s">
        <v>456</v>
      </c>
      <c r="C119" s="34">
        <v>1</v>
      </c>
      <c r="D119" s="33" t="s">
        <v>119</v>
      </c>
    </row>
    <row r="120" spans="1:4" x14ac:dyDescent="0.3">
      <c r="A120" t="s">
        <v>430</v>
      </c>
      <c r="B120" t="s">
        <v>456</v>
      </c>
      <c r="C120" s="34">
        <v>1</v>
      </c>
      <c r="D120" s="33" t="s">
        <v>119</v>
      </c>
    </row>
    <row r="121" spans="1:4" x14ac:dyDescent="0.3">
      <c r="A121" t="s">
        <v>435</v>
      </c>
      <c r="B121" t="s">
        <v>456</v>
      </c>
      <c r="C121" s="34">
        <v>1</v>
      </c>
      <c r="D121" s="33" t="s">
        <v>119</v>
      </c>
    </row>
    <row r="122" spans="1:4" x14ac:dyDescent="0.3">
      <c r="A122" t="s">
        <v>436</v>
      </c>
      <c r="B122" t="s">
        <v>456</v>
      </c>
      <c r="C122" s="34">
        <v>3</v>
      </c>
      <c r="D122" s="33" t="s">
        <v>119</v>
      </c>
    </row>
    <row r="123" spans="1:4" x14ac:dyDescent="0.3">
      <c r="A123" t="s">
        <v>255</v>
      </c>
      <c r="B123" t="s">
        <v>457</v>
      </c>
      <c r="C123" s="34">
        <v>1</v>
      </c>
      <c r="D123" s="33" t="s">
        <v>119</v>
      </c>
    </row>
    <row r="124" spans="1:4" x14ac:dyDescent="0.3">
      <c r="A124" t="s">
        <v>329</v>
      </c>
      <c r="B124" t="s">
        <v>456</v>
      </c>
      <c r="C124" s="34">
        <v>3</v>
      </c>
      <c r="D124" s="33" t="s">
        <v>119</v>
      </c>
    </row>
    <row r="125" spans="1:4" x14ac:dyDescent="0.3">
      <c r="A125" t="s">
        <v>325</v>
      </c>
      <c r="B125" t="s">
        <v>456</v>
      </c>
      <c r="C125" s="34">
        <v>1</v>
      </c>
      <c r="D125" s="33" t="s">
        <v>119</v>
      </c>
    </row>
    <row r="126" spans="1:4" x14ac:dyDescent="0.3">
      <c r="A126" t="s">
        <v>275</v>
      </c>
      <c r="B126" t="s">
        <v>456</v>
      </c>
      <c r="C126" s="34">
        <v>3</v>
      </c>
      <c r="D126" s="33" t="s">
        <v>119</v>
      </c>
    </row>
    <row r="127" spans="1:4" x14ac:dyDescent="0.3">
      <c r="A127" t="s">
        <v>308</v>
      </c>
      <c r="B127" t="s">
        <v>456</v>
      </c>
      <c r="C127" s="34">
        <v>20</v>
      </c>
      <c r="D127" s="33" t="s">
        <v>119</v>
      </c>
    </row>
    <row r="128" spans="1:4" x14ac:dyDescent="0.3">
      <c r="A128" t="s">
        <v>311</v>
      </c>
      <c r="B128" t="s">
        <v>456</v>
      </c>
      <c r="C128" s="34">
        <v>2</v>
      </c>
      <c r="D128" s="33" t="s">
        <v>119</v>
      </c>
    </row>
    <row r="129" spans="1:4" x14ac:dyDescent="0.3">
      <c r="A129" t="s">
        <v>316</v>
      </c>
      <c r="B129" t="s">
        <v>456</v>
      </c>
      <c r="C129" s="34">
        <v>2</v>
      </c>
      <c r="D129" s="33" t="s">
        <v>119</v>
      </c>
    </row>
    <row r="130" spans="1:4" x14ac:dyDescent="0.3">
      <c r="A130" t="s">
        <v>269</v>
      </c>
      <c r="B130" t="s">
        <v>456</v>
      </c>
      <c r="C130" s="34">
        <v>1</v>
      </c>
      <c r="D130" s="33" t="s">
        <v>119</v>
      </c>
    </row>
    <row r="131" spans="1:4" x14ac:dyDescent="0.3">
      <c r="A131" t="s">
        <v>280</v>
      </c>
      <c r="B131" t="s">
        <v>456</v>
      </c>
      <c r="C131" s="34">
        <v>7</v>
      </c>
      <c r="D131" s="33" t="s">
        <v>119</v>
      </c>
    </row>
    <row r="132" spans="1:4" x14ac:dyDescent="0.3">
      <c r="A132" t="s">
        <v>284</v>
      </c>
      <c r="B132" t="s">
        <v>456</v>
      </c>
      <c r="C132" s="34">
        <v>25</v>
      </c>
      <c r="D132" s="33" t="s">
        <v>119</v>
      </c>
    </row>
    <row r="133" spans="1:4" x14ac:dyDescent="0.3">
      <c r="A133" t="s">
        <v>288</v>
      </c>
      <c r="B133" t="s">
        <v>456</v>
      </c>
      <c r="C133" s="34">
        <v>54</v>
      </c>
      <c r="D133" s="33" t="s">
        <v>119</v>
      </c>
    </row>
    <row r="134" spans="1:4" x14ac:dyDescent="0.3">
      <c r="A134" t="s">
        <v>317</v>
      </c>
      <c r="B134" t="s">
        <v>456</v>
      </c>
      <c r="C134" s="34">
        <v>24</v>
      </c>
      <c r="D134" s="33" t="s">
        <v>119</v>
      </c>
    </row>
    <row r="135" spans="1:4" x14ac:dyDescent="0.3">
      <c r="A135" t="s">
        <v>298</v>
      </c>
      <c r="B135" t="s">
        <v>456</v>
      </c>
      <c r="C135" s="34">
        <v>4</v>
      </c>
      <c r="D135" s="33" t="s">
        <v>119</v>
      </c>
    </row>
    <row r="136" spans="1:4" ht="15" thickBot="1" x14ac:dyDescent="0.35">
      <c r="A136" t="s">
        <v>407</v>
      </c>
      <c r="B136" t="s">
        <v>456</v>
      </c>
      <c r="C136" s="34">
        <v>1</v>
      </c>
      <c r="D136" s="33" t="s">
        <v>119</v>
      </c>
    </row>
    <row r="137" spans="1:4" x14ac:dyDescent="0.3">
      <c r="A137" s="25" t="s">
        <v>463</v>
      </c>
      <c r="B137" s="22"/>
      <c r="C137" s="23">
        <f>SUM(C87:C136)</f>
        <v>321</v>
      </c>
      <c r="D137" s="22"/>
    </row>
    <row r="139" spans="1:4" x14ac:dyDescent="0.3">
      <c r="A139" s="32" t="s">
        <v>485</v>
      </c>
      <c r="B139" s="32"/>
      <c r="C139" s="32"/>
      <c r="D139" s="32"/>
    </row>
    <row r="140" spans="1:4" x14ac:dyDescent="0.3">
      <c r="A140" t="s">
        <v>407</v>
      </c>
      <c r="B140" t="s">
        <v>456</v>
      </c>
      <c r="C140" s="34">
        <v>1</v>
      </c>
      <c r="D140" s="33" t="s">
        <v>119</v>
      </c>
    </row>
    <row r="141" spans="1:4" x14ac:dyDescent="0.3">
      <c r="A141" t="s">
        <v>438</v>
      </c>
      <c r="B141" t="s">
        <v>456</v>
      </c>
      <c r="C141" s="34">
        <v>1</v>
      </c>
      <c r="D141" s="33" t="s">
        <v>119</v>
      </c>
    </row>
    <row r="142" spans="1:4" x14ac:dyDescent="0.3">
      <c r="A142" t="s">
        <v>329</v>
      </c>
      <c r="B142" t="s">
        <v>456</v>
      </c>
      <c r="C142" s="34">
        <v>28</v>
      </c>
      <c r="D142" s="33" t="s">
        <v>119</v>
      </c>
    </row>
    <row r="143" spans="1:4" x14ac:dyDescent="0.3">
      <c r="A143" t="s">
        <v>316</v>
      </c>
      <c r="B143" t="s">
        <v>456</v>
      </c>
      <c r="C143" s="34">
        <v>2</v>
      </c>
      <c r="D143" s="33" t="s">
        <v>119</v>
      </c>
    </row>
    <row r="144" spans="1:4" x14ac:dyDescent="0.3">
      <c r="A144" t="s">
        <v>317</v>
      </c>
      <c r="B144" t="s">
        <v>456</v>
      </c>
      <c r="C144" s="34">
        <v>22</v>
      </c>
      <c r="D144" s="33" t="s">
        <v>119</v>
      </c>
    </row>
    <row r="145" spans="1:4" x14ac:dyDescent="0.3">
      <c r="A145" t="s">
        <v>308</v>
      </c>
      <c r="B145" t="s">
        <v>456</v>
      </c>
      <c r="C145" s="34">
        <v>54</v>
      </c>
      <c r="D145" s="33" t="s">
        <v>119</v>
      </c>
    </row>
    <row r="146" spans="1:4" x14ac:dyDescent="0.3">
      <c r="A146" t="s">
        <v>298</v>
      </c>
      <c r="B146" t="s">
        <v>456</v>
      </c>
      <c r="C146" s="34">
        <v>4</v>
      </c>
      <c r="D146" s="33" t="s">
        <v>119</v>
      </c>
    </row>
    <row r="147" spans="1:4" x14ac:dyDescent="0.3">
      <c r="A147" t="s">
        <v>280</v>
      </c>
      <c r="B147" t="s">
        <v>456</v>
      </c>
      <c r="C147" s="34">
        <v>6</v>
      </c>
      <c r="D147" s="33" t="s">
        <v>119</v>
      </c>
    </row>
    <row r="148" spans="1:4" x14ac:dyDescent="0.3">
      <c r="A148" t="s">
        <v>284</v>
      </c>
      <c r="B148" t="s">
        <v>456</v>
      </c>
      <c r="C148" s="34">
        <v>9</v>
      </c>
      <c r="D148" s="33" t="s">
        <v>119</v>
      </c>
    </row>
    <row r="149" spans="1:4" x14ac:dyDescent="0.3">
      <c r="A149" t="s">
        <v>306</v>
      </c>
      <c r="B149" t="s">
        <v>456</v>
      </c>
      <c r="C149" s="34">
        <v>1</v>
      </c>
      <c r="D149" s="33" t="s">
        <v>119</v>
      </c>
    </row>
    <row r="150" spans="1:4" x14ac:dyDescent="0.3">
      <c r="A150" t="s">
        <v>302</v>
      </c>
      <c r="B150" t="s">
        <v>456</v>
      </c>
      <c r="C150" s="34">
        <v>6</v>
      </c>
      <c r="D150" s="33" t="s">
        <v>119</v>
      </c>
    </row>
    <row r="151" spans="1:4" x14ac:dyDescent="0.3">
      <c r="A151" t="s">
        <v>142</v>
      </c>
      <c r="B151" t="s">
        <v>457</v>
      </c>
      <c r="C151" s="34">
        <v>7</v>
      </c>
      <c r="D151" s="33" t="s">
        <v>119</v>
      </c>
    </row>
    <row r="152" spans="1:4" x14ac:dyDescent="0.3">
      <c r="A152" t="s">
        <v>174</v>
      </c>
      <c r="B152" t="s">
        <v>457</v>
      </c>
      <c r="C152" s="34">
        <v>9</v>
      </c>
      <c r="D152" s="33" t="s">
        <v>119</v>
      </c>
    </row>
    <row r="153" spans="1:4" x14ac:dyDescent="0.3">
      <c r="A153" t="s">
        <v>451</v>
      </c>
      <c r="B153" t="s">
        <v>458</v>
      </c>
      <c r="C153" s="34">
        <v>7</v>
      </c>
      <c r="D153" s="33" t="s">
        <v>119</v>
      </c>
    </row>
    <row r="154" spans="1:4" x14ac:dyDescent="0.3">
      <c r="A154" t="s">
        <v>160</v>
      </c>
      <c r="B154" t="s">
        <v>457</v>
      </c>
      <c r="C154" s="34">
        <v>12</v>
      </c>
      <c r="D154" s="33" t="s">
        <v>119</v>
      </c>
    </row>
    <row r="155" spans="1:4" x14ac:dyDescent="0.3">
      <c r="A155" t="s">
        <v>139</v>
      </c>
      <c r="B155" t="s">
        <v>457</v>
      </c>
      <c r="C155" s="34">
        <v>10</v>
      </c>
      <c r="D155" s="33" t="s">
        <v>119</v>
      </c>
    </row>
    <row r="156" spans="1:4" x14ac:dyDescent="0.3">
      <c r="A156" t="s">
        <v>137</v>
      </c>
      <c r="B156" t="s">
        <v>457</v>
      </c>
      <c r="C156" s="34">
        <v>7</v>
      </c>
      <c r="D156" s="33" t="s">
        <v>119</v>
      </c>
    </row>
    <row r="157" spans="1:4" x14ac:dyDescent="0.3">
      <c r="A157" t="s">
        <v>134</v>
      </c>
      <c r="B157" t="s">
        <v>457</v>
      </c>
      <c r="C157" s="34">
        <v>9</v>
      </c>
      <c r="D157" s="33" t="s">
        <v>119</v>
      </c>
    </row>
    <row r="158" spans="1:4" x14ac:dyDescent="0.3">
      <c r="A158" t="s">
        <v>468</v>
      </c>
      <c r="B158" t="s">
        <v>458</v>
      </c>
      <c r="C158" s="34">
        <v>3</v>
      </c>
      <c r="D158" s="33" t="s">
        <v>119</v>
      </c>
    </row>
    <row r="159" spans="1:4" x14ac:dyDescent="0.3">
      <c r="A159" t="s">
        <v>450</v>
      </c>
      <c r="B159" t="s">
        <v>458</v>
      </c>
      <c r="C159" s="34">
        <v>2</v>
      </c>
      <c r="D159" s="33" t="s">
        <v>119</v>
      </c>
    </row>
    <row r="160" spans="1:4" x14ac:dyDescent="0.3">
      <c r="A160" t="s">
        <v>474</v>
      </c>
      <c r="B160" t="s">
        <v>458</v>
      </c>
      <c r="C160" s="34">
        <v>10</v>
      </c>
      <c r="D160" s="33" t="s">
        <v>119</v>
      </c>
    </row>
    <row r="161" spans="1:4" x14ac:dyDescent="0.3">
      <c r="A161" t="s">
        <v>132</v>
      </c>
      <c r="B161" t="s">
        <v>457</v>
      </c>
      <c r="C161" s="34">
        <v>6</v>
      </c>
      <c r="D161" s="33" t="s">
        <v>119</v>
      </c>
    </row>
    <row r="162" spans="1:4" x14ac:dyDescent="0.3">
      <c r="A162" t="s">
        <v>459</v>
      </c>
      <c r="B162" t="s">
        <v>458</v>
      </c>
      <c r="C162" s="34">
        <v>7</v>
      </c>
      <c r="D162" s="33" t="s">
        <v>119</v>
      </c>
    </row>
    <row r="163" spans="1:4" x14ac:dyDescent="0.3">
      <c r="A163" t="s">
        <v>204</v>
      </c>
      <c r="B163" t="s">
        <v>457</v>
      </c>
      <c r="C163" s="34">
        <v>1</v>
      </c>
      <c r="D163" s="33" t="s">
        <v>119</v>
      </c>
    </row>
    <row r="164" spans="1:4" x14ac:dyDescent="0.3">
      <c r="A164" t="s">
        <v>225</v>
      </c>
      <c r="B164" t="s">
        <v>457</v>
      </c>
      <c r="C164" s="34">
        <v>3</v>
      </c>
      <c r="D164" s="33" t="s">
        <v>119</v>
      </c>
    </row>
    <row r="165" spans="1:4" x14ac:dyDescent="0.3">
      <c r="A165" t="s">
        <v>220</v>
      </c>
      <c r="B165" t="s">
        <v>457</v>
      </c>
      <c r="C165" s="34">
        <v>3</v>
      </c>
      <c r="D165" s="33" t="s">
        <v>119</v>
      </c>
    </row>
    <row r="166" spans="1:4" x14ac:dyDescent="0.3">
      <c r="A166" t="s">
        <v>239</v>
      </c>
      <c r="B166" t="s">
        <v>457</v>
      </c>
      <c r="C166" s="34">
        <v>1</v>
      </c>
      <c r="D166" s="33" t="s">
        <v>119</v>
      </c>
    </row>
    <row r="167" spans="1:4" x14ac:dyDescent="0.3">
      <c r="A167" t="s">
        <v>223</v>
      </c>
      <c r="B167" t="s">
        <v>457</v>
      </c>
      <c r="C167" s="34">
        <v>5</v>
      </c>
      <c r="D167" s="33" t="s">
        <v>119</v>
      </c>
    </row>
    <row r="168" spans="1:4" x14ac:dyDescent="0.3">
      <c r="A168" t="s">
        <v>229</v>
      </c>
      <c r="B168" t="s">
        <v>457</v>
      </c>
      <c r="C168" s="34">
        <v>1</v>
      </c>
      <c r="D168" s="33" t="s">
        <v>119</v>
      </c>
    </row>
    <row r="169" spans="1:4" x14ac:dyDescent="0.3">
      <c r="A169" t="s">
        <v>258</v>
      </c>
      <c r="B169" t="s">
        <v>457</v>
      </c>
      <c r="C169" s="34">
        <v>3</v>
      </c>
      <c r="D169" s="33" t="s">
        <v>119</v>
      </c>
    </row>
    <row r="170" spans="1:4" x14ac:dyDescent="0.3">
      <c r="A170" t="s">
        <v>335</v>
      </c>
      <c r="B170" t="s">
        <v>457</v>
      </c>
      <c r="C170" s="34">
        <v>13</v>
      </c>
      <c r="D170" s="33" t="s">
        <v>119</v>
      </c>
    </row>
    <row r="171" spans="1:4" x14ac:dyDescent="0.3">
      <c r="A171" t="s">
        <v>264</v>
      </c>
      <c r="B171" t="s">
        <v>457</v>
      </c>
      <c r="C171" s="34">
        <v>2</v>
      </c>
      <c r="D171" s="33" t="s">
        <v>119</v>
      </c>
    </row>
    <row r="172" spans="1:4" x14ac:dyDescent="0.3">
      <c r="A172" t="s">
        <v>343</v>
      </c>
      <c r="B172" t="s">
        <v>457</v>
      </c>
      <c r="C172" s="34">
        <v>14</v>
      </c>
      <c r="D172" s="33" t="s">
        <v>119</v>
      </c>
    </row>
    <row r="173" spans="1:4" x14ac:dyDescent="0.3">
      <c r="A173" t="s">
        <v>364</v>
      </c>
      <c r="B173" t="s">
        <v>457</v>
      </c>
      <c r="C173" s="34">
        <v>2</v>
      </c>
      <c r="D173" s="33" t="s">
        <v>119</v>
      </c>
    </row>
    <row r="174" spans="1:4" x14ac:dyDescent="0.3">
      <c r="A174" t="s">
        <v>403</v>
      </c>
      <c r="B174" t="s">
        <v>456</v>
      </c>
      <c r="C174" s="34">
        <v>1</v>
      </c>
      <c r="D174" s="33" t="s">
        <v>119</v>
      </c>
    </row>
    <row r="175" spans="1:4" x14ac:dyDescent="0.3">
      <c r="A175" t="s">
        <v>453</v>
      </c>
      <c r="B175" t="s">
        <v>456</v>
      </c>
      <c r="C175" s="34">
        <v>3</v>
      </c>
      <c r="D175" s="33" t="s">
        <v>119</v>
      </c>
    </row>
    <row r="176" spans="1:4" x14ac:dyDescent="0.3">
      <c r="A176" t="s">
        <v>415</v>
      </c>
      <c r="B176" t="s">
        <v>456</v>
      </c>
      <c r="C176" s="34">
        <v>3</v>
      </c>
      <c r="D176" s="33" t="s">
        <v>119</v>
      </c>
    </row>
    <row r="177" spans="1:4" x14ac:dyDescent="0.3">
      <c r="A177" t="s">
        <v>470</v>
      </c>
      <c r="B177" t="s">
        <v>456</v>
      </c>
      <c r="C177" s="34">
        <v>1</v>
      </c>
      <c r="D177" s="33" t="s">
        <v>119</v>
      </c>
    </row>
    <row r="178" spans="1:4" x14ac:dyDescent="0.3">
      <c r="A178" t="s">
        <v>460</v>
      </c>
      <c r="B178" t="s">
        <v>461</v>
      </c>
      <c r="C178" s="34">
        <v>1</v>
      </c>
      <c r="D178" s="33" t="s">
        <v>119</v>
      </c>
    </row>
    <row r="179" spans="1:4" x14ac:dyDescent="0.3">
      <c r="A179" t="s">
        <v>483</v>
      </c>
      <c r="B179" t="s">
        <v>458</v>
      </c>
      <c r="C179" s="34">
        <v>4</v>
      </c>
      <c r="D179" s="33" t="s">
        <v>119</v>
      </c>
    </row>
    <row r="180" spans="1:4" x14ac:dyDescent="0.3">
      <c r="A180" t="s">
        <v>391</v>
      </c>
      <c r="B180" t="s">
        <v>461</v>
      </c>
      <c r="C180" s="34">
        <v>12</v>
      </c>
      <c r="D180" s="33" t="s">
        <v>119</v>
      </c>
    </row>
    <row r="181" spans="1:4" x14ac:dyDescent="0.3">
      <c r="A181" t="s">
        <v>395</v>
      </c>
      <c r="B181" t="s">
        <v>461</v>
      </c>
      <c r="C181" s="34">
        <v>14</v>
      </c>
      <c r="D181" s="33" t="s">
        <v>119</v>
      </c>
    </row>
    <row r="182" spans="1:4" x14ac:dyDescent="0.3">
      <c r="A182" t="s">
        <v>382</v>
      </c>
      <c r="B182" t="s">
        <v>461</v>
      </c>
      <c r="C182" s="34">
        <v>7</v>
      </c>
      <c r="D182" s="33" t="s">
        <v>119</v>
      </c>
    </row>
    <row r="183" spans="1:4" x14ac:dyDescent="0.3">
      <c r="A183" t="s">
        <v>435</v>
      </c>
      <c r="B183" t="s">
        <v>456</v>
      </c>
      <c r="C183" s="34">
        <v>50</v>
      </c>
      <c r="D183" s="33" t="s">
        <v>119</v>
      </c>
    </row>
    <row r="184" spans="1:4" ht="15" thickBot="1" x14ac:dyDescent="0.35">
      <c r="A184" t="s">
        <v>436</v>
      </c>
      <c r="B184" t="s">
        <v>456</v>
      </c>
      <c r="C184" s="34">
        <v>3</v>
      </c>
      <c r="D184" s="33" t="s">
        <v>119</v>
      </c>
    </row>
    <row r="185" spans="1:4" x14ac:dyDescent="0.3">
      <c r="A185" s="25" t="s">
        <v>463</v>
      </c>
      <c r="B185" s="22"/>
      <c r="C185" s="23">
        <f>SUM(C140:C184)</f>
        <v>370</v>
      </c>
      <c r="D185" s="22"/>
    </row>
    <row r="188" spans="1:4" x14ac:dyDescent="0.3">
      <c r="A188" s="32" t="s">
        <v>488</v>
      </c>
      <c r="B188" s="32"/>
      <c r="C188" s="32"/>
      <c r="D188" s="32"/>
    </row>
    <row r="189" spans="1:4" x14ac:dyDescent="0.3">
      <c r="A189" t="s">
        <v>407</v>
      </c>
      <c r="B189" t="s">
        <v>456</v>
      </c>
      <c r="C189" s="34">
        <v>5</v>
      </c>
      <c r="D189" s="33" t="s">
        <v>119</v>
      </c>
    </row>
    <row r="190" spans="1:4" x14ac:dyDescent="0.3">
      <c r="A190" t="s">
        <v>283</v>
      </c>
      <c r="B190" t="s">
        <v>456</v>
      </c>
      <c r="C190" s="34">
        <v>285</v>
      </c>
      <c r="D190" s="33" t="s">
        <v>119</v>
      </c>
    </row>
    <row r="191" spans="1:4" x14ac:dyDescent="0.3">
      <c r="A191" t="s">
        <v>280</v>
      </c>
      <c r="B191" t="s">
        <v>456</v>
      </c>
      <c r="C191" s="34">
        <v>35</v>
      </c>
      <c r="D191" s="33" t="s">
        <v>119</v>
      </c>
    </row>
    <row r="192" spans="1:4" x14ac:dyDescent="0.3">
      <c r="A192" t="s">
        <v>329</v>
      </c>
      <c r="B192" t="s">
        <v>456</v>
      </c>
      <c r="C192" s="34">
        <v>36</v>
      </c>
      <c r="D192" s="33" t="s">
        <v>119</v>
      </c>
    </row>
    <row r="193" spans="1:4" x14ac:dyDescent="0.3">
      <c r="A193" t="s">
        <v>328</v>
      </c>
      <c r="B193" t="s">
        <v>456</v>
      </c>
      <c r="C193" s="34">
        <v>6</v>
      </c>
      <c r="D193" s="33" t="s">
        <v>119</v>
      </c>
    </row>
    <row r="194" spans="1:4" x14ac:dyDescent="0.3">
      <c r="A194" t="s">
        <v>297</v>
      </c>
      <c r="B194" t="s">
        <v>456</v>
      </c>
      <c r="C194" s="34">
        <v>2</v>
      </c>
      <c r="D194" s="33" t="s">
        <v>119</v>
      </c>
    </row>
    <row r="195" spans="1:4" x14ac:dyDescent="0.3">
      <c r="A195" t="s">
        <v>284</v>
      </c>
      <c r="B195" t="s">
        <v>456</v>
      </c>
      <c r="C195" s="34">
        <v>22</v>
      </c>
      <c r="D195" s="33" t="s">
        <v>119</v>
      </c>
    </row>
    <row r="196" spans="1:4" x14ac:dyDescent="0.3">
      <c r="A196" t="s">
        <v>311</v>
      </c>
      <c r="B196" t="s">
        <v>456</v>
      </c>
      <c r="C196" s="34">
        <v>10</v>
      </c>
      <c r="D196" s="33" t="s">
        <v>119</v>
      </c>
    </row>
    <row r="197" spans="1:4" x14ac:dyDescent="0.3">
      <c r="A197" t="s">
        <v>292</v>
      </c>
      <c r="B197" t="s">
        <v>456</v>
      </c>
      <c r="C197" s="34">
        <v>3</v>
      </c>
      <c r="D197" s="33" t="s">
        <v>119</v>
      </c>
    </row>
    <row r="198" spans="1:4" x14ac:dyDescent="0.3">
      <c r="A198" t="s">
        <v>317</v>
      </c>
      <c r="B198" t="s">
        <v>456</v>
      </c>
      <c r="C198" s="34">
        <v>19</v>
      </c>
      <c r="D198" s="33" t="s">
        <v>119</v>
      </c>
    </row>
    <row r="199" spans="1:4" x14ac:dyDescent="0.3">
      <c r="A199" t="s">
        <v>450</v>
      </c>
      <c r="B199" t="s">
        <v>458</v>
      </c>
      <c r="C199" s="34">
        <v>1</v>
      </c>
      <c r="D199" s="33" t="s">
        <v>119</v>
      </c>
    </row>
    <row r="200" spans="1:4" x14ac:dyDescent="0.3">
      <c r="A200" t="s">
        <v>489</v>
      </c>
      <c r="B200" t="s">
        <v>458</v>
      </c>
      <c r="C200" s="34">
        <v>1</v>
      </c>
      <c r="D200" s="33" t="s">
        <v>119</v>
      </c>
    </row>
    <row r="201" spans="1:4" x14ac:dyDescent="0.3">
      <c r="A201" t="s">
        <v>490</v>
      </c>
      <c r="B201" t="s">
        <v>458</v>
      </c>
      <c r="C201" s="34">
        <v>1</v>
      </c>
      <c r="D201" s="33" t="s">
        <v>119</v>
      </c>
    </row>
    <row r="202" spans="1:4" x14ac:dyDescent="0.3">
      <c r="A202" t="s">
        <v>491</v>
      </c>
      <c r="B202" t="s">
        <v>458</v>
      </c>
      <c r="C202" s="34">
        <v>1</v>
      </c>
      <c r="D202" s="33" t="s">
        <v>119</v>
      </c>
    </row>
    <row r="203" spans="1:4" x14ac:dyDescent="0.3">
      <c r="A203" t="s">
        <v>134</v>
      </c>
      <c r="B203" t="s">
        <v>457</v>
      </c>
      <c r="C203" s="34">
        <v>117</v>
      </c>
      <c r="D203" s="33" t="s">
        <v>119</v>
      </c>
    </row>
    <row r="204" spans="1:4" x14ac:dyDescent="0.3">
      <c r="A204" t="s">
        <v>137</v>
      </c>
      <c r="B204" t="s">
        <v>457</v>
      </c>
      <c r="C204" s="34">
        <v>6</v>
      </c>
      <c r="D204" s="33" t="s">
        <v>119</v>
      </c>
    </row>
    <row r="205" spans="1:4" x14ac:dyDescent="0.3">
      <c r="A205" t="s">
        <v>139</v>
      </c>
      <c r="B205" t="s">
        <v>457</v>
      </c>
      <c r="C205" s="34">
        <v>18</v>
      </c>
      <c r="D205" s="33" t="s">
        <v>119</v>
      </c>
    </row>
    <row r="206" spans="1:4" x14ac:dyDescent="0.3">
      <c r="A206" t="s">
        <v>160</v>
      </c>
      <c r="B206" t="s">
        <v>457</v>
      </c>
      <c r="C206" s="34">
        <v>7</v>
      </c>
      <c r="D206" s="33" t="s">
        <v>119</v>
      </c>
    </row>
    <row r="207" spans="1:4" x14ac:dyDescent="0.3">
      <c r="A207" t="s">
        <v>466</v>
      </c>
      <c r="B207" t="s">
        <v>458</v>
      </c>
      <c r="C207" s="34">
        <v>1</v>
      </c>
      <c r="D207" s="33" t="s">
        <v>119</v>
      </c>
    </row>
    <row r="208" spans="1:4" x14ac:dyDescent="0.3">
      <c r="A208" t="s">
        <v>158</v>
      </c>
      <c r="B208" t="s">
        <v>457</v>
      </c>
      <c r="C208" s="34">
        <v>33</v>
      </c>
      <c r="D208" s="33" t="s">
        <v>119</v>
      </c>
    </row>
    <row r="209" spans="1:4" x14ac:dyDescent="0.3">
      <c r="A209" t="s">
        <v>174</v>
      </c>
      <c r="B209" t="s">
        <v>457</v>
      </c>
      <c r="C209" s="34">
        <v>7</v>
      </c>
      <c r="D209" s="33" t="s">
        <v>119</v>
      </c>
    </row>
    <row r="210" spans="1:4" x14ac:dyDescent="0.3">
      <c r="A210" t="s">
        <v>169</v>
      </c>
      <c r="B210" t="s">
        <v>457</v>
      </c>
      <c r="C210" s="34">
        <v>4</v>
      </c>
      <c r="D210" s="33" t="s">
        <v>119</v>
      </c>
    </row>
    <row r="211" spans="1:4" x14ac:dyDescent="0.3">
      <c r="A211" t="s">
        <v>171</v>
      </c>
      <c r="B211" t="s">
        <v>457</v>
      </c>
      <c r="C211" s="34">
        <v>1</v>
      </c>
      <c r="D211" s="33" t="s">
        <v>119</v>
      </c>
    </row>
    <row r="212" spans="1:4" x14ac:dyDescent="0.3">
      <c r="A212" t="s">
        <v>172</v>
      </c>
      <c r="B212" t="s">
        <v>457</v>
      </c>
      <c r="C212" s="34">
        <v>1</v>
      </c>
      <c r="D212" s="33" t="s">
        <v>119</v>
      </c>
    </row>
    <row r="213" spans="1:4" x14ac:dyDescent="0.3">
      <c r="A213" t="s">
        <v>204</v>
      </c>
      <c r="B213" t="s">
        <v>457</v>
      </c>
      <c r="C213" s="34">
        <v>6</v>
      </c>
      <c r="D213" s="33" t="s">
        <v>119</v>
      </c>
    </row>
    <row r="214" spans="1:4" x14ac:dyDescent="0.3">
      <c r="A214" t="s">
        <v>197</v>
      </c>
      <c r="B214" t="s">
        <v>457</v>
      </c>
      <c r="C214" s="34">
        <v>7</v>
      </c>
      <c r="D214" s="33" t="s">
        <v>119</v>
      </c>
    </row>
    <row r="215" spans="1:4" x14ac:dyDescent="0.3">
      <c r="A215" t="s">
        <v>201</v>
      </c>
      <c r="B215" t="s">
        <v>457</v>
      </c>
      <c r="C215" s="34">
        <v>1</v>
      </c>
      <c r="D215" s="33" t="s">
        <v>119</v>
      </c>
    </row>
    <row r="216" spans="1:4" x14ac:dyDescent="0.3">
      <c r="A216" t="s">
        <v>220</v>
      </c>
      <c r="B216" t="s">
        <v>457</v>
      </c>
      <c r="C216" s="34">
        <v>2</v>
      </c>
      <c r="D216" s="33" t="s">
        <v>119</v>
      </c>
    </row>
    <row r="217" spans="1:4" x14ac:dyDescent="0.3">
      <c r="A217" t="s">
        <v>229</v>
      </c>
      <c r="B217" t="s">
        <v>457</v>
      </c>
      <c r="C217" s="34">
        <v>2</v>
      </c>
      <c r="D217" s="33" t="s">
        <v>119</v>
      </c>
    </row>
    <row r="218" spans="1:4" x14ac:dyDescent="0.3">
      <c r="A218" t="s">
        <v>239</v>
      </c>
      <c r="B218" t="s">
        <v>457</v>
      </c>
      <c r="C218" s="34">
        <v>4</v>
      </c>
      <c r="D218" s="33" t="s">
        <v>119</v>
      </c>
    </row>
    <row r="219" spans="1:4" x14ac:dyDescent="0.3">
      <c r="A219" t="s">
        <v>232</v>
      </c>
      <c r="B219" t="s">
        <v>457</v>
      </c>
      <c r="C219" s="34">
        <v>1</v>
      </c>
      <c r="D219" s="33" t="s">
        <v>119</v>
      </c>
    </row>
    <row r="220" spans="1:4" x14ac:dyDescent="0.3">
      <c r="A220" t="s">
        <v>258</v>
      </c>
      <c r="B220" t="s">
        <v>457</v>
      </c>
      <c r="C220" s="34">
        <v>2</v>
      </c>
      <c r="D220" s="33" t="s">
        <v>119</v>
      </c>
    </row>
    <row r="221" spans="1:4" x14ac:dyDescent="0.3">
      <c r="A221" t="s">
        <v>335</v>
      </c>
      <c r="B221" t="s">
        <v>457</v>
      </c>
      <c r="C221" s="34">
        <v>11</v>
      </c>
      <c r="D221" s="33" t="s">
        <v>119</v>
      </c>
    </row>
    <row r="222" spans="1:4" x14ac:dyDescent="0.3">
      <c r="A222" t="s">
        <v>347</v>
      </c>
      <c r="B222" t="s">
        <v>457</v>
      </c>
      <c r="C222" s="34">
        <v>1</v>
      </c>
      <c r="D222" s="33" t="s">
        <v>119</v>
      </c>
    </row>
    <row r="223" spans="1:4" x14ac:dyDescent="0.3">
      <c r="A223" t="s">
        <v>343</v>
      </c>
      <c r="B223" t="s">
        <v>457</v>
      </c>
      <c r="C223" s="34">
        <v>1</v>
      </c>
      <c r="D223" s="33" t="s">
        <v>119</v>
      </c>
    </row>
    <row r="224" spans="1:4" x14ac:dyDescent="0.3">
      <c r="A224" t="s">
        <v>402</v>
      </c>
      <c r="B224" t="s">
        <v>456</v>
      </c>
      <c r="C224" s="34">
        <v>1</v>
      </c>
      <c r="D224" s="33" t="s">
        <v>119</v>
      </c>
    </row>
    <row r="225" spans="1:4" x14ac:dyDescent="0.3">
      <c r="A225" t="s">
        <v>453</v>
      </c>
      <c r="B225" t="s">
        <v>456</v>
      </c>
      <c r="C225" s="34">
        <v>3</v>
      </c>
      <c r="D225" s="33" t="s">
        <v>119</v>
      </c>
    </row>
    <row r="226" spans="1:4" x14ac:dyDescent="0.3">
      <c r="A226" t="s">
        <v>470</v>
      </c>
      <c r="B226" t="s">
        <v>456</v>
      </c>
      <c r="C226" s="34">
        <v>5</v>
      </c>
      <c r="D226" s="33" t="s">
        <v>119</v>
      </c>
    </row>
    <row r="227" spans="1:4" x14ac:dyDescent="0.3">
      <c r="A227" t="s">
        <v>415</v>
      </c>
      <c r="B227" t="s">
        <v>456</v>
      </c>
      <c r="C227" s="34">
        <v>12</v>
      </c>
      <c r="D227" s="33" t="s">
        <v>119</v>
      </c>
    </row>
    <row r="228" spans="1:4" x14ac:dyDescent="0.3">
      <c r="A228" t="s">
        <v>416</v>
      </c>
      <c r="B228" t="s">
        <v>456</v>
      </c>
      <c r="C228" s="34">
        <v>2</v>
      </c>
      <c r="D228" s="33" t="s">
        <v>119</v>
      </c>
    </row>
    <row r="229" spans="1:4" x14ac:dyDescent="0.3">
      <c r="A229" t="s">
        <v>395</v>
      </c>
      <c r="B229" t="s">
        <v>461</v>
      </c>
      <c r="C229" s="34">
        <v>12</v>
      </c>
      <c r="D229" s="33" t="s">
        <v>119</v>
      </c>
    </row>
    <row r="230" spans="1:4" x14ac:dyDescent="0.3">
      <c r="A230" t="s">
        <v>391</v>
      </c>
      <c r="B230" t="s">
        <v>461</v>
      </c>
      <c r="C230" s="34">
        <v>6</v>
      </c>
      <c r="D230" s="33" t="s">
        <v>119</v>
      </c>
    </row>
    <row r="231" spans="1:4" x14ac:dyDescent="0.3">
      <c r="A231" t="s">
        <v>385</v>
      </c>
      <c r="B231" t="s">
        <v>461</v>
      </c>
      <c r="C231" s="34">
        <v>2</v>
      </c>
      <c r="D231" s="33" t="s">
        <v>119</v>
      </c>
    </row>
    <row r="232" spans="1:4" x14ac:dyDescent="0.3">
      <c r="A232" t="s">
        <v>462</v>
      </c>
      <c r="B232" t="s">
        <v>456</v>
      </c>
      <c r="C232" s="34">
        <v>1</v>
      </c>
      <c r="D232" s="33" t="s">
        <v>119</v>
      </c>
    </row>
    <row r="233" spans="1:4" x14ac:dyDescent="0.3">
      <c r="A233" t="s">
        <v>435</v>
      </c>
      <c r="B233" t="s">
        <v>456</v>
      </c>
      <c r="C233" s="34">
        <v>3</v>
      </c>
      <c r="D233" s="33" t="s">
        <v>119</v>
      </c>
    </row>
    <row r="234" spans="1:4" ht="15" thickBot="1" x14ac:dyDescent="0.35">
      <c r="A234" t="s">
        <v>436</v>
      </c>
      <c r="B234" t="s">
        <v>456</v>
      </c>
      <c r="C234" s="34">
        <v>7</v>
      </c>
      <c r="D234" s="33" t="s">
        <v>119</v>
      </c>
    </row>
    <row r="235" spans="1:4" x14ac:dyDescent="0.3">
      <c r="A235" s="25" t="s">
        <v>463</v>
      </c>
      <c r="B235" s="22"/>
      <c r="C235" s="23">
        <f>SUM(C189:C234)</f>
        <v>714</v>
      </c>
      <c r="D235" s="22"/>
    </row>
    <row r="237" spans="1:4" x14ac:dyDescent="0.3">
      <c r="A237" s="32" t="s">
        <v>492</v>
      </c>
      <c r="B237" s="32"/>
      <c r="C237" s="32"/>
      <c r="D237" s="32"/>
    </row>
    <row r="238" spans="1:4" x14ac:dyDescent="0.3">
      <c r="A238" t="s">
        <v>160</v>
      </c>
      <c r="B238" t="s">
        <v>457</v>
      </c>
      <c r="C238" s="34">
        <v>20</v>
      </c>
      <c r="D238" s="33" t="s">
        <v>119</v>
      </c>
    </row>
    <row r="239" spans="1:4" x14ac:dyDescent="0.3">
      <c r="A239" t="s">
        <v>158</v>
      </c>
      <c r="B239" t="s">
        <v>457</v>
      </c>
      <c r="C239" s="34">
        <v>63</v>
      </c>
      <c r="D239" s="33" t="s">
        <v>119</v>
      </c>
    </row>
    <row r="240" spans="1:4" x14ac:dyDescent="0.3">
      <c r="A240" t="s">
        <v>174</v>
      </c>
      <c r="B240" t="s">
        <v>457</v>
      </c>
      <c r="C240" s="34">
        <v>4</v>
      </c>
      <c r="D240" s="33" t="s">
        <v>119</v>
      </c>
    </row>
    <row r="241" spans="1:4" x14ac:dyDescent="0.3">
      <c r="A241" t="s">
        <v>137</v>
      </c>
      <c r="B241" t="s">
        <v>457</v>
      </c>
      <c r="C241" s="34">
        <v>5</v>
      </c>
      <c r="D241" s="33" t="s">
        <v>119</v>
      </c>
    </row>
    <row r="242" spans="1:4" x14ac:dyDescent="0.3">
      <c r="A242" t="s">
        <v>139</v>
      </c>
      <c r="B242" t="s">
        <v>457</v>
      </c>
      <c r="C242" s="34">
        <v>1</v>
      </c>
      <c r="D242" s="33" t="s">
        <v>119</v>
      </c>
    </row>
    <row r="243" spans="1:4" x14ac:dyDescent="0.3">
      <c r="A243" t="s">
        <v>201</v>
      </c>
      <c r="B243" t="s">
        <v>457</v>
      </c>
      <c r="C243" s="34">
        <v>1</v>
      </c>
      <c r="D243" s="33" t="s">
        <v>119</v>
      </c>
    </row>
    <row r="244" spans="1:4" x14ac:dyDescent="0.3">
      <c r="A244" t="s">
        <v>468</v>
      </c>
      <c r="B244" t="s">
        <v>458</v>
      </c>
      <c r="C244" s="34">
        <v>3</v>
      </c>
      <c r="D244" s="33" t="s">
        <v>119</v>
      </c>
    </row>
    <row r="245" spans="1:4" x14ac:dyDescent="0.3">
      <c r="A245" t="s">
        <v>364</v>
      </c>
      <c r="B245" t="s">
        <v>457</v>
      </c>
      <c r="C245" s="34">
        <v>4</v>
      </c>
      <c r="D245" s="33" t="s">
        <v>493</v>
      </c>
    </row>
    <row r="246" spans="1:4" x14ac:dyDescent="0.3">
      <c r="A246" t="s">
        <v>391</v>
      </c>
      <c r="B246" t="s">
        <v>461</v>
      </c>
      <c r="C246" s="34">
        <v>2</v>
      </c>
      <c r="D246" s="33" t="s">
        <v>119</v>
      </c>
    </row>
    <row r="247" spans="1:4" x14ac:dyDescent="0.3">
      <c r="A247" t="s">
        <v>382</v>
      </c>
      <c r="B247" t="s">
        <v>461</v>
      </c>
      <c r="C247" s="34">
        <v>2</v>
      </c>
      <c r="D247" s="33" t="s">
        <v>119</v>
      </c>
    </row>
    <row r="248" spans="1:4" x14ac:dyDescent="0.3">
      <c r="A248" t="s">
        <v>395</v>
      </c>
      <c r="B248" t="s">
        <v>461</v>
      </c>
      <c r="C248" s="34">
        <v>13</v>
      </c>
      <c r="D248" s="33" t="s">
        <v>119</v>
      </c>
    </row>
    <row r="249" spans="1:4" x14ac:dyDescent="0.3">
      <c r="A249" t="s">
        <v>258</v>
      </c>
      <c r="B249" t="s">
        <v>457</v>
      </c>
      <c r="C249" s="34">
        <v>1</v>
      </c>
      <c r="D249" s="33" t="s">
        <v>119</v>
      </c>
    </row>
    <row r="250" spans="1:4" x14ac:dyDescent="0.3">
      <c r="A250" t="s">
        <v>220</v>
      </c>
      <c r="B250" t="s">
        <v>457</v>
      </c>
      <c r="C250" s="34">
        <v>8</v>
      </c>
      <c r="D250" s="33" t="s">
        <v>119</v>
      </c>
    </row>
    <row r="251" spans="1:4" x14ac:dyDescent="0.3">
      <c r="A251" t="s">
        <v>335</v>
      </c>
      <c r="B251" t="s">
        <v>457</v>
      </c>
      <c r="C251" s="34">
        <v>8</v>
      </c>
      <c r="D251" s="33" t="s">
        <v>119</v>
      </c>
    </row>
    <row r="252" spans="1:4" x14ac:dyDescent="0.3">
      <c r="A252" t="s">
        <v>264</v>
      </c>
      <c r="B252" t="s">
        <v>457</v>
      </c>
      <c r="C252" s="34">
        <v>1</v>
      </c>
      <c r="D252" s="33" t="s">
        <v>119</v>
      </c>
    </row>
    <row r="253" spans="1:4" x14ac:dyDescent="0.3">
      <c r="A253" t="s">
        <v>430</v>
      </c>
      <c r="B253" t="s">
        <v>456</v>
      </c>
      <c r="C253" s="34">
        <v>1</v>
      </c>
      <c r="D253" s="33" t="s">
        <v>119</v>
      </c>
    </row>
    <row r="254" spans="1:4" x14ac:dyDescent="0.3">
      <c r="A254" t="s">
        <v>462</v>
      </c>
      <c r="B254" t="s">
        <v>456</v>
      </c>
      <c r="C254" s="34">
        <v>5</v>
      </c>
      <c r="D254" s="33" t="s">
        <v>119</v>
      </c>
    </row>
    <row r="255" spans="1:4" x14ac:dyDescent="0.3">
      <c r="A255" t="s">
        <v>450</v>
      </c>
      <c r="B255" t="s">
        <v>458</v>
      </c>
      <c r="C255" s="34">
        <v>6</v>
      </c>
      <c r="D255" s="33" t="s">
        <v>119</v>
      </c>
    </row>
    <row r="256" spans="1:4" x14ac:dyDescent="0.3">
      <c r="A256" t="s">
        <v>451</v>
      </c>
      <c r="B256" t="s">
        <v>458</v>
      </c>
      <c r="C256" s="34">
        <v>1</v>
      </c>
      <c r="D256" s="33" t="s">
        <v>119</v>
      </c>
    </row>
    <row r="257" spans="1:4" x14ac:dyDescent="0.3">
      <c r="A257" t="s">
        <v>320</v>
      </c>
      <c r="B257" t="s">
        <v>456</v>
      </c>
      <c r="C257" s="34">
        <v>1</v>
      </c>
      <c r="D257" s="33" t="s">
        <v>119</v>
      </c>
    </row>
    <row r="258" spans="1:4" x14ac:dyDescent="0.3">
      <c r="A258" t="s">
        <v>275</v>
      </c>
      <c r="B258" t="s">
        <v>456</v>
      </c>
      <c r="C258" s="34">
        <v>1</v>
      </c>
      <c r="D258" s="33" t="s">
        <v>119</v>
      </c>
    </row>
    <row r="259" spans="1:4" x14ac:dyDescent="0.3">
      <c r="A259" t="s">
        <v>292</v>
      </c>
      <c r="B259" t="s">
        <v>456</v>
      </c>
      <c r="C259" s="34">
        <v>1</v>
      </c>
      <c r="D259" s="33" t="s">
        <v>119</v>
      </c>
    </row>
    <row r="260" spans="1:4" x14ac:dyDescent="0.3">
      <c r="A260" t="s">
        <v>284</v>
      </c>
      <c r="B260" t="s">
        <v>456</v>
      </c>
      <c r="C260" s="34">
        <v>405</v>
      </c>
      <c r="D260" s="33" t="s">
        <v>119</v>
      </c>
    </row>
    <row r="261" spans="1:4" x14ac:dyDescent="0.3">
      <c r="A261" t="s">
        <v>329</v>
      </c>
      <c r="B261" t="s">
        <v>456</v>
      </c>
      <c r="C261" s="34">
        <v>8</v>
      </c>
      <c r="D261" s="33" t="s">
        <v>119</v>
      </c>
    </row>
    <row r="262" spans="1:4" x14ac:dyDescent="0.3">
      <c r="A262" t="s">
        <v>297</v>
      </c>
      <c r="B262" t="s">
        <v>456</v>
      </c>
      <c r="C262" s="34">
        <v>5</v>
      </c>
      <c r="D262" s="33" t="s">
        <v>119</v>
      </c>
    </row>
    <row r="263" spans="1:4" x14ac:dyDescent="0.3">
      <c r="A263" t="s">
        <v>302</v>
      </c>
      <c r="B263" t="s">
        <v>456</v>
      </c>
      <c r="C263" s="34">
        <v>7</v>
      </c>
      <c r="D263" s="33" t="s">
        <v>119</v>
      </c>
    </row>
    <row r="264" spans="1:4" x14ac:dyDescent="0.3">
      <c r="A264" t="s">
        <v>311</v>
      </c>
      <c r="B264" t="s">
        <v>456</v>
      </c>
      <c r="C264" s="34">
        <v>6</v>
      </c>
      <c r="D264" s="33" t="s">
        <v>119</v>
      </c>
    </row>
    <row r="265" spans="1:4" x14ac:dyDescent="0.3">
      <c r="A265" t="s">
        <v>317</v>
      </c>
      <c r="B265" t="s">
        <v>456</v>
      </c>
      <c r="C265" s="34">
        <v>8</v>
      </c>
      <c r="D265" s="33" t="s">
        <v>119</v>
      </c>
    </row>
    <row r="266" spans="1:4" ht="15" thickBot="1" x14ac:dyDescent="0.35">
      <c r="A266" t="s">
        <v>407</v>
      </c>
      <c r="B266" t="s">
        <v>456</v>
      </c>
      <c r="C266" s="34">
        <v>3</v>
      </c>
      <c r="D266" s="33" t="s">
        <v>119</v>
      </c>
    </row>
    <row r="267" spans="1:4" x14ac:dyDescent="0.3">
      <c r="A267" s="25" t="s">
        <v>463</v>
      </c>
      <c r="B267" s="22"/>
      <c r="C267" s="23">
        <f>SUM(C238:C266)</f>
        <v>594</v>
      </c>
      <c r="D267" s="22"/>
    </row>
    <row r="269" spans="1:4" x14ac:dyDescent="0.3">
      <c r="A269" s="32" t="s">
        <v>494</v>
      </c>
      <c r="B269" s="32"/>
      <c r="C269" s="32"/>
      <c r="D269" s="32"/>
    </row>
    <row r="270" spans="1:4" x14ac:dyDescent="0.3">
      <c r="A270" t="s">
        <v>407</v>
      </c>
      <c r="B270" t="s">
        <v>456</v>
      </c>
      <c r="C270" s="34">
        <v>1</v>
      </c>
      <c r="D270" s="33" t="s">
        <v>119</v>
      </c>
    </row>
    <row r="271" spans="1:4" x14ac:dyDescent="0.3">
      <c r="A271" t="s">
        <v>270</v>
      </c>
      <c r="B271" t="s">
        <v>456</v>
      </c>
      <c r="C271" s="34">
        <v>1</v>
      </c>
      <c r="D271" s="33" t="s">
        <v>119</v>
      </c>
    </row>
    <row r="272" spans="1:4" x14ac:dyDescent="0.3">
      <c r="A272" t="s">
        <v>271</v>
      </c>
      <c r="B272" t="s">
        <v>456</v>
      </c>
      <c r="C272" s="34">
        <v>6</v>
      </c>
      <c r="D272" s="33" t="s">
        <v>119</v>
      </c>
    </row>
    <row r="273" spans="1:4" x14ac:dyDescent="0.3">
      <c r="A273" t="s">
        <v>284</v>
      </c>
      <c r="B273" t="s">
        <v>456</v>
      </c>
      <c r="C273" s="34">
        <v>105</v>
      </c>
      <c r="D273" s="33" t="s">
        <v>119</v>
      </c>
    </row>
    <row r="274" spans="1:4" x14ac:dyDescent="0.3">
      <c r="A274" t="s">
        <v>283</v>
      </c>
      <c r="B274" t="s">
        <v>456</v>
      </c>
      <c r="C274" s="34">
        <v>17</v>
      </c>
      <c r="D274" s="33" t="s">
        <v>119</v>
      </c>
    </row>
    <row r="275" spans="1:4" x14ac:dyDescent="0.3">
      <c r="A275" t="s">
        <v>317</v>
      </c>
      <c r="B275" t="s">
        <v>456</v>
      </c>
      <c r="C275" s="34">
        <v>15</v>
      </c>
      <c r="D275" s="33" t="s">
        <v>119</v>
      </c>
    </row>
    <row r="276" spans="1:4" x14ac:dyDescent="0.3">
      <c r="A276" t="s">
        <v>320</v>
      </c>
      <c r="B276" t="s">
        <v>456</v>
      </c>
      <c r="C276" s="34">
        <v>1</v>
      </c>
      <c r="D276" s="33" t="s">
        <v>119</v>
      </c>
    </row>
    <row r="277" spans="1:4" x14ac:dyDescent="0.3">
      <c r="A277" t="s">
        <v>275</v>
      </c>
      <c r="B277" t="s">
        <v>456</v>
      </c>
      <c r="C277" s="34">
        <v>33</v>
      </c>
      <c r="D277" s="33" t="s">
        <v>119</v>
      </c>
    </row>
    <row r="278" spans="1:4" x14ac:dyDescent="0.3">
      <c r="A278" t="s">
        <v>308</v>
      </c>
      <c r="B278" t="s">
        <v>456</v>
      </c>
      <c r="C278" s="34">
        <v>9</v>
      </c>
      <c r="D278" s="33" t="s">
        <v>119</v>
      </c>
    </row>
    <row r="279" spans="1:4" x14ac:dyDescent="0.3">
      <c r="A279" t="s">
        <v>329</v>
      </c>
      <c r="B279" t="s">
        <v>456</v>
      </c>
      <c r="C279" s="34">
        <v>13</v>
      </c>
      <c r="D279" s="33" t="s">
        <v>119</v>
      </c>
    </row>
    <row r="280" spans="1:4" x14ac:dyDescent="0.3">
      <c r="A280" t="s">
        <v>142</v>
      </c>
      <c r="B280" t="s">
        <v>457</v>
      </c>
      <c r="C280" s="34">
        <v>2</v>
      </c>
      <c r="D280" s="33" t="s">
        <v>119</v>
      </c>
    </row>
    <row r="281" spans="1:4" x14ac:dyDescent="0.3">
      <c r="A281" t="s">
        <v>472</v>
      </c>
      <c r="B281" t="s">
        <v>480</v>
      </c>
      <c r="C281" s="34">
        <v>2</v>
      </c>
      <c r="D281" s="33" t="s">
        <v>119</v>
      </c>
    </row>
    <row r="282" spans="1:4" x14ac:dyDescent="0.3">
      <c r="A282" t="s">
        <v>474</v>
      </c>
      <c r="B282" t="s">
        <v>458</v>
      </c>
      <c r="C282" s="34">
        <v>20</v>
      </c>
      <c r="D282" s="33" t="s">
        <v>119</v>
      </c>
    </row>
    <row r="283" spans="1:4" x14ac:dyDescent="0.3">
      <c r="A283" t="s">
        <v>450</v>
      </c>
      <c r="B283" t="s">
        <v>458</v>
      </c>
      <c r="C283" s="34">
        <v>4</v>
      </c>
      <c r="D283" s="33" t="s">
        <v>119</v>
      </c>
    </row>
    <row r="284" spans="1:4" x14ac:dyDescent="0.3">
      <c r="A284" t="s">
        <v>144</v>
      </c>
      <c r="B284" t="s">
        <v>457</v>
      </c>
      <c r="C284" s="34">
        <v>1</v>
      </c>
      <c r="D284" s="33" t="s">
        <v>119</v>
      </c>
    </row>
    <row r="285" spans="1:4" x14ac:dyDescent="0.3">
      <c r="A285" t="s">
        <v>174</v>
      </c>
      <c r="B285" t="s">
        <v>457</v>
      </c>
      <c r="C285" s="34">
        <v>48</v>
      </c>
      <c r="D285" s="33" t="s">
        <v>119</v>
      </c>
    </row>
    <row r="286" spans="1:4" x14ac:dyDescent="0.3">
      <c r="A286" t="s">
        <v>139</v>
      </c>
      <c r="B286" t="s">
        <v>457</v>
      </c>
      <c r="C286" s="34">
        <v>21</v>
      </c>
      <c r="D286" s="33" t="s">
        <v>119</v>
      </c>
    </row>
    <row r="287" spans="1:4" x14ac:dyDescent="0.3">
      <c r="A287" t="s">
        <v>132</v>
      </c>
      <c r="B287" t="s">
        <v>457</v>
      </c>
      <c r="C287" s="34">
        <v>4</v>
      </c>
      <c r="D287" s="33" t="s">
        <v>119</v>
      </c>
    </row>
    <row r="288" spans="1:4" x14ac:dyDescent="0.3">
      <c r="A288" t="s">
        <v>137</v>
      </c>
      <c r="B288" t="s">
        <v>457</v>
      </c>
      <c r="C288" s="34">
        <v>35</v>
      </c>
      <c r="D288" s="33" t="s">
        <v>119</v>
      </c>
    </row>
    <row r="289" spans="1:4" x14ac:dyDescent="0.3">
      <c r="A289" t="s">
        <v>160</v>
      </c>
      <c r="B289" t="s">
        <v>457</v>
      </c>
      <c r="C289" s="34">
        <v>4</v>
      </c>
      <c r="D289" s="33" t="s">
        <v>119</v>
      </c>
    </row>
    <row r="290" spans="1:4" x14ac:dyDescent="0.3">
      <c r="A290" t="s">
        <v>158</v>
      </c>
      <c r="B290" t="s">
        <v>457</v>
      </c>
      <c r="C290" s="34">
        <v>11</v>
      </c>
      <c r="D290" s="33" t="s">
        <v>119</v>
      </c>
    </row>
    <row r="291" spans="1:4" x14ac:dyDescent="0.3">
      <c r="A291" t="s">
        <v>162</v>
      </c>
      <c r="B291" t="s">
        <v>457</v>
      </c>
      <c r="C291" s="34">
        <v>1</v>
      </c>
      <c r="D291" s="33" t="s">
        <v>119</v>
      </c>
    </row>
    <row r="292" spans="1:4" x14ac:dyDescent="0.3">
      <c r="A292" t="s">
        <v>220</v>
      </c>
      <c r="B292" t="s">
        <v>457</v>
      </c>
      <c r="C292" s="34">
        <v>5</v>
      </c>
      <c r="D292" s="33" t="s">
        <v>119</v>
      </c>
    </row>
    <row r="293" spans="1:4" x14ac:dyDescent="0.3">
      <c r="A293" t="s">
        <v>244</v>
      </c>
      <c r="B293" t="s">
        <v>457</v>
      </c>
      <c r="C293" s="34">
        <v>1</v>
      </c>
      <c r="D293" s="33" t="s">
        <v>119</v>
      </c>
    </row>
    <row r="294" spans="1:4" x14ac:dyDescent="0.3">
      <c r="A294" t="s">
        <v>454</v>
      </c>
      <c r="B294" t="s">
        <v>458</v>
      </c>
      <c r="C294" s="34">
        <v>2</v>
      </c>
      <c r="D294" s="33" t="s">
        <v>119</v>
      </c>
    </row>
    <row r="295" spans="1:4" x14ac:dyDescent="0.3">
      <c r="A295" t="s">
        <v>225</v>
      </c>
      <c r="B295" t="s">
        <v>457</v>
      </c>
      <c r="C295" s="34">
        <v>2</v>
      </c>
      <c r="D295" s="33" t="s">
        <v>119</v>
      </c>
    </row>
    <row r="296" spans="1:4" x14ac:dyDescent="0.3">
      <c r="A296" t="s">
        <v>222</v>
      </c>
      <c r="B296" t="s">
        <v>457</v>
      </c>
      <c r="C296" s="34">
        <v>2</v>
      </c>
      <c r="D296" s="33" t="s">
        <v>119</v>
      </c>
    </row>
    <row r="297" spans="1:4" x14ac:dyDescent="0.3">
      <c r="A297" t="s">
        <v>264</v>
      </c>
      <c r="B297" t="s">
        <v>457</v>
      </c>
      <c r="C297" s="34">
        <v>4</v>
      </c>
      <c r="D297" s="33" t="s">
        <v>119</v>
      </c>
    </row>
    <row r="298" spans="1:4" x14ac:dyDescent="0.3">
      <c r="A298" t="s">
        <v>343</v>
      </c>
      <c r="B298" t="s">
        <v>457</v>
      </c>
      <c r="C298" s="34">
        <v>15</v>
      </c>
      <c r="D298" s="33" t="s">
        <v>119</v>
      </c>
    </row>
    <row r="299" spans="1:4" x14ac:dyDescent="0.3">
      <c r="A299" t="s">
        <v>467</v>
      </c>
      <c r="B299" t="s">
        <v>480</v>
      </c>
      <c r="C299" s="34">
        <v>1</v>
      </c>
      <c r="D299" s="33" t="s">
        <v>119</v>
      </c>
    </row>
    <row r="300" spans="1:4" x14ac:dyDescent="0.3">
      <c r="A300" t="s">
        <v>483</v>
      </c>
      <c r="B300" t="s">
        <v>458</v>
      </c>
      <c r="C300" s="34">
        <v>3</v>
      </c>
      <c r="D300" s="33" t="s">
        <v>119</v>
      </c>
    </row>
    <row r="301" spans="1:4" x14ac:dyDescent="0.3">
      <c r="A301" t="s">
        <v>385</v>
      </c>
      <c r="B301" t="s">
        <v>461</v>
      </c>
      <c r="C301" s="34">
        <v>2</v>
      </c>
      <c r="D301" s="33" t="s">
        <v>119</v>
      </c>
    </row>
    <row r="302" spans="1:4" x14ac:dyDescent="0.3">
      <c r="A302" t="s">
        <v>391</v>
      </c>
      <c r="B302" t="s">
        <v>461</v>
      </c>
      <c r="C302" s="34">
        <v>2</v>
      </c>
      <c r="D302" s="33" t="s">
        <v>119</v>
      </c>
    </row>
    <row r="303" spans="1:4" x14ac:dyDescent="0.3">
      <c r="A303" t="s">
        <v>382</v>
      </c>
      <c r="B303" t="s">
        <v>461</v>
      </c>
      <c r="C303" s="34">
        <v>2</v>
      </c>
      <c r="D303" s="33" t="s">
        <v>119</v>
      </c>
    </row>
    <row r="304" spans="1:4" x14ac:dyDescent="0.3">
      <c r="A304" t="s">
        <v>395</v>
      </c>
      <c r="B304" t="s">
        <v>461</v>
      </c>
      <c r="C304" s="34">
        <v>24</v>
      </c>
      <c r="D304" s="33" t="s">
        <v>119</v>
      </c>
    </row>
    <row r="305" spans="1:4" x14ac:dyDescent="0.3">
      <c r="A305" t="s">
        <v>392</v>
      </c>
      <c r="B305" t="s">
        <v>461</v>
      </c>
      <c r="C305" s="34">
        <v>1</v>
      </c>
      <c r="D305" s="33" t="s">
        <v>119</v>
      </c>
    </row>
    <row r="306" spans="1:4" x14ac:dyDescent="0.3">
      <c r="A306" t="s">
        <v>460</v>
      </c>
      <c r="B306" t="s">
        <v>461</v>
      </c>
      <c r="C306" s="34">
        <v>1</v>
      </c>
      <c r="D306" s="33" t="s">
        <v>119</v>
      </c>
    </row>
    <row r="307" spans="1:4" x14ac:dyDescent="0.3">
      <c r="A307" t="s">
        <v>472</v>
      </c>
      <c r="B307" t="s">
        <v>458</v>
      </c>
      <c r="C307" s="34">
        <v>3</v>
      </c>
      <c r="D307" s="33" t="s">
        <v>119</v>
      </c>
    </row>
    <row r="308" spans="1:4" x14ac:dyDescent="0.3">
      <c r="A308" t="s">
        <v>364</v>
      </c>
      <c r="B308" t="s">
        <v>457</v>
      </c>
      <c r="C308" s="34">
        <v>5</v>
      </c>
      <c r="D308" s="33" t="s">
        <v>119</v>
      </c>
    </row>
    <row r="309" spans="1:4" x14ac:dyDescent="0.3">
      <c r="A309" t="s">
        <v>468</v>
      </c>
      <c r="B309" t="s">
        <v>458</v>
      </c>
      <c r="C309" s="34">
        <v>1</v>
      </c>
      <c r="D309" s="33" t="s">
        <v>119</v>
      </c>
    </row>
    <row r="310" spans="1:4" x14ac:dyDescent="0.3">
      <c r="A310" t="s">
        <v>462</v>
      </c>
      <c r="B310" t="s">
        <v>456</v>
      </c>
      <c r="C310" s="34">
        <v>6</v>
      </c>
      <c r="D310" s="33" t="s">
        <v>119</v>
      </c>
    </row>
    <row r="311" spans="1:4" ht="15" thickBot="1" x14ac:dyDescent="0.35">
      <c r="A311" t="s">
        <v>430</v>
      </c>
      <c r="B311" t="s">
        <v>456</v>
      </c>
      <c r="C311" s="34">
        <v>4</v>
      </c>
      <c r="D311" s="33" t="s">
        <v>119</v>
      </c>
    </row>
    <row r="312" spans="1:4" x14ac:dyDescent="0.3">
      <c r="A312" s="25" t="s">
        <v>463</v>
      </c>
      <c r="B312" s="22"/>
      <c r="C312" s="23">
        <f>SUM(C270:C311)</f>
        <v>440</v>
      </c>
      <c r="D312" s="22"/>
    </row>
    <row r="314" spans="1:4" x14ac:dyDescent="0.3">
      <c r="A314" s="32" t="s">
        <v>495</v>
      </c>
      <c r="B314" s="32"/>
      <c r="C314" s="32"/>
      <c r="D314" s="32"/>
    </row>
    <row r="315" spans="1:4" x14ac:dyDescent="0.3">
      <c r="A315" t="s">
        <v>139</v>
      </c>
      <c r="B315" t="s">
        <v>457</v>
      </c>
      <c r="C315" s="34">
        <v>3</v>
      </c>
      <c r="D315" s="33" t="s">
        <v>119</v>
      </c>
    </row>
    <row r="316" spans="1:4" x14ac:dyDescent="0.3">
      <c r="A316" t="s">
        <v>132</v>
      </c>
      <c r="B316" t="s">
        <v>457</v>
      </c>
      <c r="C316" s="34">
        <v>1</v>
      </c>
      <c r="D316" s="33" t="s">
        <v>119</v>
      </c>
    </row>
    <row r="317" spans="1:4" x14ac:dyDescent="0.3">
      <c r="A317" t="s">
        <v>174</v>
      </c>
      <c r="B317" t="s">
        <v>457</v>
      </c>
      <c r="C317" s="34">
        <v>11</v>
      </c>
      <c r="D317" s="33" t="s">
        <v>119</v>
      </c>
    </row>
    <row r="318" spans="1:4" x14ac:dyDescent="0.3">
      <c r="A318" t="s">
        <v>137</v>
      </c>
      <c r="B318" t="s">
        <v>457</v>
      </c>
      <c r="C318" s="34">
        <v>52</v>
      </c>
      <c r="D318" s="33" t="s">
        <v>119</v>
      </c>
    </row>
    <row r="319" spans="1:4" x14ac:dyDescent="0.3">
      <c r="A319" t="s">
        <v>134</v>
      </c>
      <c r="B319" t="s">
        <v>457</v>
      </c>
      <c r="C319" s="34">
        <v>1</v>
      </c>
      <c r="D319" s="33" t="s">
        <v>119</v>
      </c>
    </row>
    <row r="320" spans="1:4" x14ac:dyDescent="0.3">
      <c r="A320" t="s">
        <v>160</v>
      </c>
      <c r="B320" t="s">
        <v>457</v>
      </c>
      <c r="C320" s="34">
        <v>3</v>
      </c>
      <c r="D320" s="33" t="s">
        <v>119</v>
      </c>
    </row>
    <row r="321" spans="1:4" x14ac:dyDescent="0.3">
      <c r="A321" t="s">
        <v>343</v>
      </c>
      <c r="B321" t="s">
        <v>457</v>
      </c>
      <c r="C321" s="34">
        <v>49</v>
      </c>
      <c r="D321" s="33" t="s">
        <v>119</v>
      </c>
    </row>
    <row r="322" spans="1:4" x14ac:dyDescent="0.3">
      <c r="A322" t="s">
        <v>479</v>
      </c>
      <c r="B322" t="s">
        <v>458</v>
      </c>
      <c r="C322" s="34">
        <v>6</v>
      </c>
      <c r="D322" s="33" t="s">
        <v>119</v>
      </c>
    </row>
    <row r="323" spans="1:4" x14ac:dyDescent="0.3">
      <c r="A323" t="s">
        <v>335</v>
      </c>
      <c r="B323" t="s">
        <v>457</v>
      </c>
      <c r="C323" s="34">
        <v>10</v>
      </c>
      <c r="D323" s="33" t="s">
        <v>119</v>
      </c>
    </row>
    <row r="324" spans="1:4" x14ac:dyDescent="0.3">
      <c r="A324" t="s">
        <v>264</v>
      </c>
      <c r="B324" t="s">
        <v>457</v>
      </c>
      <c r="C324" s="34">
        <v>1</v>
      </c>
      <c r="D324" s="33" t="s">
        <v>119</v>
      </c>
    </row>
    <row r="325" spans="1:4" x14ac:dyDescent="0.3">
      <c r="A325" t="s">
        <v>364</v>
      </c>
      <c r="B325" t="s">
        <v>457</v>
      </c>
      <c r="C325" s="34">
        <v>2</v>
      </c>
      <c r="D325" s="33" t="s">
        <v>119</v>
      </c>
    </row>
    <row r="326" spans="1:4" x14ac:dyDescent="0.3">
      <c r="A326" t="s">
        <v>468</v>
      </c>
      <c r="B326" t="s">
        <v>458</v>
      </c>
      <c r="C326" s="34">
        <v>4</v>
      </c>
      <c r="D326" s="33" t="s">
        <v>119</v>
      </c>
    </row>
    <row r="327" spans="1:4" x14ac:dyDescent="0.3">
      <c r="A327" t="s">
        <v>496</v>
      </c>
      <c r="B327" t="s">
        <v>458</v>
      </c>
      <c r="C327" s="34">
        <v>2</v>
      </c>
      <c r="D327" s="33" t="s">
        <v>119</v>
      </c>
    </row>
    <row r="328" spans="1:4" x14ac:dyDescent="0.3">
      <c r="A328" t="s">
        <v>395</v>
      </c>
      <c r="B328" t="s">
        <v>461</v>
      </c>
      <c r="C328" s="34">
        <v>13</v>
      </c>
      <c r="D328" s="33" t="s">
        <v>119</v>
      </c>
    </row>
    <row r="329" spans="1:4" x14ac:dyDescent="0.3">
      <c r="A329" t="s">
        <v>392</v>
      </c>
      <c r="B329" t="s">
        <v>461</v>
      </c>
      <c r="C329" s="34">
        <v>1</v>
      </c>
      <c r="D329" s="33" t="s">
        <v>119</v>
      </c>
    </row>
    <row r="330" spans="1:4" x14ac:dyDescent="0.3">
      <c r="A330" t="s">
        <v>391</v>
      </c>
      <c r="B330" t="s">
        <v>461</v>
      </c>
      <c r="C330" s="34">
        <v>1</v>
      </c>
      <c r="D330" s="33" t="s">
        <v>119</v>
      </c>
    </row>
    <row r="331" spans="1:4" x14ac:dyDescent="0.3">
      <c r="A331" t="s">
        <v>385</v>
      </c>
      <c r="B331" t="s">
        <v>461</v>
      </c>
      <c r="C331" s="34">
        <v>2</v>
      </c>
      <c r="D331" s="33" t="s">
        <v>119</v>
      </c>
    </row>
    <row r="332" spans="1:4" x14ac:dyDescent="0.3">
      <c r="A332" t="s">
        <v>382</v>
      </c>
      <c r="B332" t="s">
        <v>461</v>
      </c>
      <c r="C332" s="34">
        <v>5</v>
      </c>
      <c r="D332" s="33" t="s">
        <v>119</v>
      </c>
    </row>
    <row r="333" spans="1:4" x14ac:dyDescent="0.3">
      <c r="A333" t="s">
        <v>224</v>
      </c>
      <c r="B333" t="s">
        <v>457</v>
      </c>
      <c r="C333" s="34">
        <v>6</v>
      </c>
      <c r="D333" s="33" t="s">
        <v>119</v>
      </c>
    </row>
    <row r="334" spans="1:4" x14ac:dyDescent="0.3">
      <c r="A334" t="s">
        <v>482</v>
      </c>
      <c r="B334" t="s">
        <v>458</v>
      </c>
      <c r="C334" s="34">
        <v>1</v>
      </c>
      <c r="D334" s="33" t="s">
        <v>119</v>
      </c>
    </row>
    <row r="335" spans="1:4" x14ac:dyDescent="0.3">
      <c r="A335" t="s">
        <v>453</v>
      </c>
      <c r="B335" t="s">
        <v>456</v>
      </c>
      <c r="C335" s="34">
        <v>6</v>
      </c>
      <c r="D335" s="33" t="s">
        <v>119</v>
      </c>
    </row>
    <row r="336" spans="1:4" x14ac:dyDescent="0.3">
      <c r="A336" t="s">
        <v>413</v>
      </c>
      <c r="B336" t="s">
        <v>456</v>
      </c>
      <c r="C336" s="34">
        <v>1</v>
      </c>
      <c r="D336" s="33" t="s">
        <v>119</v>
      </c>
    </row>
    <row r="337" spans="1:4" x14ac:dyDescent="0.3">
      <c r="A337" t="s">
        <v>491</v>
      </c>
      <c r="B337" t="s">
        <v>458</v>
      </c>
      <c r="C337" s="34">
        <v>1</v>
      </c>
      <c r="D337" s="33" t="s">
        <v>119</v>
      </c>
    </row>
    <row r="338" spans="1:4" x14ac:dyDescent="0.3">
      <c r="A338" t="s">
        <v>415</v>
      </c>
      <c r="B338" t="s">
        <v>456</v>
      </c>
      <c r="C338" s="34">
        <v>2</v>
      </c>
      <c r="D338" s="33" t="s">
        <v>119</v>
      </c>
    </row>
    <row r="339" spans="1:4" x14ac:dyDescent="0.3">
      <c r="A339" t="s">
        <v>462</v>
      </c>
      <c r="B339" t="s">
        <v>456</v>
      </c>
      <c r="C339" s="34">
        <v>16</v>
      </c>
      <c r="D339" s="33" t="s">
        <v>119</v>
      </c>
    </row>
    <row r="340" spans="1:4" x14ac:dyDescent="0.3">
      <c r="A340" t="s">
        <v>486</v>
      </c>
      <c r="B340" t="s">
        <v>458</v>
      </c>
      <c r="C340" s="34">
        <v>3</v>
      </c>
      <c r="D340" s="33" t="s">
        <v>119</v>
      </c>
    </row>
    <row r="341" spans="1:4" x14ac:dyDescent="0.3">
      <c r="A341" t="s">
        <v>474</v>
      </c>
      <c r="B341" t="s">
        <v>458</v>
      </c>
      <c r="C341" s="34">
        <v>11</v>
      </c>
      <c r="D341" s="33" t="s">
        <v>119</v>
      </c>
    </row>
    <row r="342" spans="1:4" x14ac:dyDescent="0.3">
      <c r="A342" t="s">
        <v>479</v>
      </c>
      <c r="B342" t="s">
        <v>480</v>
      </c>
      <c r="C342" s="34">
        <v>1</v>
      </c>
      <c r="D342" s="33" t="s">
        <v>119</v>
      </c>
    </row>
    <row r="343" spans="1:4" x14ac:dyDescent="0.3">
      <c r="A343" t="s">
        <v>329</v>
      </c>
      <c r="B343" t="s">
        <v>456</v>
      </c>
      <c r="C343" s="34">
        <v>9</v>
      </c>
      <c r="D343" s="33" t="s">
        <v>119</v>
      </c>
    </row>
    <row r="344" spans="1:4" x14ac:dyDescent="0.3">
      <c r="A344" t="s">
        <v>275</v>
      </c>
      <c r="B344" t="s">
        <v>456</v>
      </c>
      <c r="C344" s="34">
        <v>13</v>
      </c>
      <c r="D344" s="33" t="s">
        <v>119</v>
      </c>
    </row>
    <row r="345" spans="1:4" x14ac:dyDescent="0.3">
      <c r="A345" t="s">
        <v>284</v>
      </c>
      <c r="B345" t="s">
        <v>456</v>
      </c>
      <c r="C345" s="34">
        <v>41</v>
      </c>
      <c r="D345" s="33" t="s">
        <v>119</v>
      </c>
    </row>
    <row r="346" spans="1:4" x14ac:dyDescent="0.3">
      <c r="A346" t="s">
        <v>283</v>
      </c>
      <c r="B346" t="s">
        <v>456</v>
      </c>
      <c r="C346" s="34">
        <v>11</v>
      </c>
      <c r="D346" s="33" t="s">
        <v>119</v>
      </c>
    </row>
    <row r="347" spans="1:4" x14ac:dyDescent="0.3">
      <c r="A347" t="s">
        <v>308</v>
      </c>
      <c r="B347" t="s">
        <v>456</v>
      </c>
      <c r="C347" s="34">
        <v>13</v>
      </c>
      <c r="D347" s="33" t="s">
        <v>119</v>
      </c>
    </row>
    <row r="348" spans="1:4" x14ac:dyDescent="0.3">
      <c r="A348" t="s">
        <v>317</v>
      </c>
      <c r="B348" t="s">
        <v>456</v>
      </c>
      <c r="C348" s="34">
        <v>8</v>
      </c>
      <c r="D348" s="33" t="s">
        <v>119</v>
      </c>
    </row>
    <row r="349" spans="1:4" x14ac:dyDescent="0.3">
      <c r="A349" t="s">
        <v>310</v>
      </c>
      <c r="B349" t="s">
        <v>456</v>
      </c>
      <c r="C349" s="34">
        <v>6</v>
      </c>
      <c r="D349" s="33" t="s">
        <v>119</v>
      </c>
    </row>
    <row r="350" spans="1:4" ht="15" thickBot="1" x14ac:dyDescent="0.35">
      <c r="A350" t="s">
        <v>297</v>
      </c>
      <c r="B350" t="s">
        <v>456</v>
      </c>
      <c r="C350" s="34">
        <v>1</v>
      </c>
      <c r="D350" s="33" t="s">
        <v>119</v>
      </c>
    </row>
    <row r="351" spans="1:4" x14ac:dyDescent="0.3">
      <c r="A351" s="25" t="s">
        <v>463</v>
      </c>
      <c r="B351" s="22"/>
      <c r="C351" s="23">
        <f>SUM(C315:C350)</f>
        <v>317</v>
      </c>
      <c r="D351" s="22"/>
    </row>
    <row r="353" spans="1:4" x14ac:dyDescent="0.3">
      <c r="A353" s="32" t="s">
        <v>497</v>
      </c>
      <c r="B353" s="32"/>
      <c r="C353" s="32"/>
      <c r="D353" s="32"/>
    </row>
    <row r="354" spans="1:4" x14ac:dyDescent="0.3">
      <c r="A354" t="s">
        <v>310</v>
      </c>
      <c r="B354" t="s">
        <v>456</v>
      </c>
      <c r="C354" s="34">
        <v>9</v>
      </c>
      <c r="D354" s="33" t="s">
        <v>119</v>
      </c>
    </row>
    <row r="355" spans="1:4" x14ac:dyDescent="0.3">
      <c r="A355" t="s">
        <v>288</v>
      </c>
      <c r="B355" t="s">
        <v>456</v>
      </c>
      <c r="C355" s="34">
        <v>18</v>
      </c>
      <c r="D355" s="33" t="s">
        <v>119</v>
      </c>
    </row>
    <row r="356" spans="1:4" x14ac:dyDescent="0.3">
      <c r="A356" t="s">
        <v>284</v>
      </c>
      <c r="B356" t="s">
        <v>456</v>
      </c>
      <c r="C356" s="34">
        <v>45</v>
      </c>
      <c r="D356" s="33" t="s">
        <v>119</v>
      </c>
    </row>
    <row r="357" spans="1:4" x14ac:dyDescent="0.3">
      <c r="A357" t="s">
        <v>308</v>
      </c>
      <c r="B357" t="s">
        <v>456</v>
      </c>
      <c r="C357" s="34">
        <v>75</v>
      </c>
      <c r="D357" s="33" t="s">
        <v>119</v>
      </c>
    </row>
    <row r="358" spans="1:4" x14ac:dyDescent="0.3">
      <c r="A358" t="s">
        <v>329</v>
      </c>
      <c r="B358" t="s">
        <v>456</v>
      </c>
      <c r="C358" s="34">
        <v>7</v>
      </c>
      <c r="D358" s="33" t="s">
        <v>119</v>
      </c>
    </row>
    <row r="359" spans="1:4" x14ac:dyDescent="0.3">
      <c r="A359" t="s">
        <v>292</v>
      </c>
      <c r="B359" t="s">
        <v>456</v>
      </c>
      <c r="C359" s="34">
        <v>3</v>
      </c>
      <c r="D359" s="33" t="s">
        <v>119</v>
      </c>
    </row>
    <row r="360" spans="1:4" x14ac:dyDescent="0.3">
      <c r="A360" t="s">
        <v>280</v>
      </c>
      <c r="B360" t="s">
        <v>456</v>
      </c>
      <c r="C360" s="34">
        <v>2</v>
      </c>
      <c r="D360" s="33" t="s">
        <v>119</v>
      </c>
    </row>
    <row r="361" spans="1:4" x14ac:dyDescent="0.3">
      <c r="A361" t="s">
        <v>313</v>
      </c>
      <c r="B361" t="s">
        <v>456</v>
      </c>
      <c r="C361" s="34">
        <v>5</v>
      </c>
      <c r="D361" s="33" t="s">
        <v>119</v>
      </c>
    </row>
    <row r="362" spans="1:4" x14ac:dyDescent="0.3">
      <c r="A362" t="s">
        <v>174</v>
      </c>
      <c r="B362" t="s">
        <v>457</v>
      </c>
      <c r="C362" s="34">
        <v>83</v>
      </c>
      <c r="D362" s="33" t="s">
        <v>119</v>
      </c>
    </row>
    <row r="363" spans="1:4" x14ac:dyDescent="0.3">
      <c r="A363" t="s">
        <v>139</v>
      </c>
      <c r="B363" t="s">
        <v>457</v>
      </c>
      <c r="C363" s="34">
        <v>64</v>
      </c>
      <c r="D363" s="33" t="s">
        <v>119</v>
      </c>
    </row>
    <row r="364" spans="1:4" x14ac:dyDescent="0.3">
      <c r="A364" t="s">
        <v>137</v>
      </c>
      <c r="B364" t="s">
        <v>457</v>
      </c>
      <c r="C364" s="34">
        <v>91</v>
      </c>
      <c r="D364" s="33" t="s">
        <v>119</v>
      </c>
    </row>
    <row r="365" spans="1:4" x14ac:dyDescent="0.3">
      <c r="A365" t="s">
        <v>135</v>
      </c>
      <c r="B365" t="s">
        <v>457</v>
      </c>
      <c r="C365" s="34">
        <v>2</v>
      </c>
      <c r="D365" s="33" t="s">
        <v>119</v>
      </c>
    </row>
    <row r="366" spans="1:4" x14ac:dyDescent="0.3">
      <c r="A366" t="s">
        <v>132</v>
      </c>
      <c r="B366" t="s">
        <v>457</v>
      </c>
      <c r="C366" s="34">
        <v>3</v>
      </c>
      <c r="D366" s="33" t="s">
        <v>119</v>
      </c>
    </row>
    <row r="367" spans="1:4" x14ac:dyDescent="0.3">
      <c r="A367" t="s">
        <v>169</v>
      </c>
      <c r="B367" t="s">
        <v>457</v>
      </c>
      <c r="C367" s="34">
        <v>1</v>
      </c>
      <c r="D367" s="33" t="s">
        <v>119</v>
      </c>
    </row>
    <row r="368" spans="1:4" x14ac:dyDescent="0.3">
      <c r="A368" t="s">
        <v>134</v>
      </c>
      <c r="B368" t="s">
        <v>457</v>
      </c>
      <c r="C368" s="34">
        <v>2</v>
      </c>
      <c r="D368" s="33" t="s">
        <v>119</v>
      </c>
    </row>
    <row r="369" spans="1:4" x14ac:dyDescent="0.3">
      <c r="A369" t="s">
        <v>468</v>
      </c>
      <c r="B369" t="s">
        <v>458</v>
      </c>
      <c r="C369" s="34">
        <v>1</v>
      </c>
      <c r="D369" s="33" t="s">
        <v>119</v>
      </c>
    </row>
    <row r="370" spans="1:4" x14ac:dyDescent="0.3">
      <c r="A370" t="s">
        <v>204</v>
      </c>
      <c r="B370" t="s">
        <v>457</v>
      </c>
      <c r="C370" s="34">
        <v>3</v>
      </c>
      <c r="D370" s="33" t="s">
        <v>119</v>
      </c>
    </row>
    <row r="371" spans="1:4" x14ac:dyDescent="0.3">
      <c r="A371" t="s">
        <v>220</v>
      </c>
      <c r="B371" t="s">
        <v>457</v>
      </c>
      <c r="C371" s="34">
        <v>11</v>
      </c>
      <c r="D371" s="33" t="s">
        <v>119</v>
      </c>
    </row>
    <row r="372" spans="1:4" x14ac:dyDescent="0.3">
      <c r="A372" t="s">
        <v>459</v>
      </c>
      <c r="B372" t="s">
        <v>458</v>
      </c>
      <c r="C372" s="34">
        <v>5</v>
      </c>
      <c r="D372" s="33" t="s">
        <v>119</v>
      </c>
    </row>
    <row r="373" spans="1:4" x14ac:dyDescent="0.3">
      <c r="A373" t="s">
        <v>451</v>
      </c>
      <c r="B373" t="s">
        <v>458</v>
      </c>
      <c r="C373" s="34">
        <v>109</v>
      </c>
      <c r="D373" s="33" t="s">
        <v>119</v>
      </c>
    </row>
    <row r="374" spans="1:4" x14ac:dyDescent="0.3">
      <c r="A374" t="s">
        <v>160</v>
      </c>
      <c r="B374" t="s">
        <v>457</v>
      </c>
      <c r="C374" s="34">
        <v>28</v>
      </c>
      <c r="D374" s="33" t="s">
        <v>119</v>
      </c>
    </row>
    <row r="375" spans="1:4" x14ac:dyDescent="0.3">
      <c r="A375" t="s">
        <v>474</v>
      </c>
      <c r="B375" t="s">
        <v>458</v>
      </c>
      <c r="C375" s="34">
        <v>1</v>
      </c>
      <c r="D375" s="33" t="s">
        <v>119</v>
      </c>
    </row>
    <row r="376" spans="1:4" x14ac:dyDescent="0.3">
      <c r="A376" t="s">
        <v>225</v>
      </c>
      <c r="B376" t="s">
        <v>457</v>
      </c>
      <c r="C376" s="34">
        <v>4</v>
      </c>
      <c r="D376" s="33" t="s">
        <v>119</v>
      </c>
    </row>
    <row r="377" spans="1:4" x14ac:dyDescent="0.3">
      <c r="A377" t="s">
        <v>223</v>
      </c>
      <c r="B377" t="s">
        <v>457</v>
      </c>
      <c r="C377" s="34">
        <v>1</v>
      </c>
      <c r="D377" s="33" t="s">
        <v>119</v>
      </c>
    </row>
    <row r="378" spans="1:4" x14ac:dyDescent="0.3">
      <c r="A378" t="s">
        <v>472</v>
      </c>
      <c r="B378" t="s">
        <v>458</v>
      </c>
      <c r="C378" s="34">
        <v>1</v>
      </c>
      <c r="D378" s="33" t="s">
        <v>119</v>
      </c>
    </row>
    <row r="379" spans="1:4" x14ac:dyDescent="0.3">
      <c r="A379" t="s">
        <v>454</v>
      </c>
      <c r="B379" t="s">
        <v>458</v>
      </c>
      <c r="C379" s="34">
        <v>1</v>
      </c>
      <c r="D379" s="33" t="s">
        <v>119</v>
      </c>
    </row>
    <row r="380" spans="1:4" x14ac:dyDescent="0.3">
      <c r="A380" t="s">
        <v>335</v>
      </c>
      <c r="B380" t="s">
        <v>457</v>
      </c>
      <c r="C380" s="34">
        <v>23</v>
      </c>
      <c r="D380" s="33" t="s">
        <v>119</v>
      </c>
    </row>
    <row r="381" spans="1:4" x14ac:dyDescent="0.3">
      <c r="A381" t="s">
        <v>479</v>
      </c>
      <c r="B381" t="s">
        <v>480</v>
      </c>
      <c r="C381" s="34">
        <v>17</v>
      </c>
      <c r="D381" s="33" t="s">
        <v>119</v>
      </c>
    </row>
    <row r="382" spans="1:4" x14ac:dyDescent="0.3">
      <c r="A382" t="s">
        <v>343</v>
      </c>
      <c r="B382" t="s">
        <v>457</v>
      </c>
      <c r="C382" s="34">
        <v>84</v>
      </c>
      <c r="D382" s="33" t="s">
        <v>119</v>
      </c>
    </row>
    <row r="383" spans="1:4" x14ac:dyDescent="0.3">
      <c r="A383" t="s">
        <v>264</v>
      </c>
      <c r="B383" t="s">
        <v>457</v>
      </c>
      <c r="C383" s="34">
        <v>1</v>
      </c>
      <c r="D383" s="33" t="s">
        <v>119</v>
      </c>
    </row>
    <row r="384" spans="1:4" x14ac:dyDescent="0.3">
      <c r="A384" t="s">
        <v>413</v>
      </c>
      <c r="B384" t="s">
        <v>456</v>
      </c>
      <c r="C384" s="34">
        <v>1</v>
      </c>
      <c r="D384" s="33" t="s">
        <v>119</v>
      </c>
    </row>
    <row r="385" spans="1:4" x14ac:dyDescent="0.3">
      <c r="A385" t="s">
        <v>416</v>
      </c>
      <c r="B385" t="s">
        <v>456</v>
      </c>
      <c r="C385" s="34">
        <v>12</v>
      </c>
      <c r="D385" s="33" t="s">
        <v>119</v>
      </c>
    </row>
    <row r="386" spans="1:4" x14ac:dyDescent="0.3">
      <c r="A386" t="s">
        <v>415</v>
      </c>
      <c r="B386" t="s">
        <v>456</v>
      </c>
      <c r="C386" s="34">
        <v>5</v>
      </c>
      <c r="D386" s="33" t="s">
        <v>119</v>
      </c>
    </row>
    <row r="387" spans="1:4" x14ac:dyDescent="0.3">
      <c r="A387" t="s">
        <v>470</v>
      </c>
      <c r="B387" t="s">
        <v>456</v>
      </c>
      <c r="C387" s="34">
        <v>7</v>
      </c>
      <c r="D387" s="33" t="s">
        <v>119</v>
      </c>
    </row>
    <row r="388" spans="1:4" x14ac:dyDescent="0.3">
      <c r="A388" t="s">
        <v>469</v>
      </c>
      <c r="B388" t="s">
        <v>456</v>
      </c>
      <c r="C388" s="34">
        <v>1</v>
      </c>
      <c r="D388" s="33" t="s">
        <v>119</v>
      </c>
    </row>
    <row r="389" spans="1:4" x14ac:dyDescent="0.3">
      <c r="A389" t="s">
        <v>491</v>
      </c>
      <c r="B389" t="s">
        <v>458</v>
      </c>
      <c r="C389" s="34">
        <v>2</v>
      </c>
      <c r="D389" s="33" t="s">
        <v>119</v>
      </c>
    </row>
    <row r="390" spans="1:4" x14ac:dyDescent="0.3">
      <c r="A390" t="s">
        <v>395</v>
      </c>
      <c r="B390" t="s">
        <v>461</v>
      </c>
      <c r="C390" s="34">
        <v>20</v>
      </c>
      <c r="D390" s="33" t="s">
        <v>119</v>
      </c>
    </row>
    <row r="391" spans="1:4" x14ac:dyDescent="0.3">
      <c r="A391" t="s">
        <v>364</v>
      </c>
      <c r="B391" t="s">
        <v>457</v>
      </c>
      <c r="C391" s="34">
        <v>1</v>
      </c>
      <c r="D391" s="33" t="s">
        <v>119</v>
      </c>
    </row>
    <row r="392" spans="1:4" x14ac:dyDescent="0.3">
      <c r="A392" t="s">
        <v>453</v>
      </c>
      <c r="B392" t="s">
        <v>456</v>
      </c>
      <c r="C392" s="34">
        <v>3</v>
      </c>
      <c r="D392" s="33" t="s">
        <v>119</v>
      </c>
    </row>
    <row r="393" spans="1:4" x14ac:dyDescent="0.3">
      <c r="A393" t="s">
        <v>402</v>
      </c>
      <c r="B393" t="s">
        <v>456</v>
      </c>
      <c r="C393" s="34">
        <v>2</v>
      </c>
      <c r="D393" s="33" t="s">
        <v>119</v>
      </c>
    </row>
    <row r="394" spans="1:4" x14ac:dyDescent="0.3">
      <c r="A394" t="s">
        <v>382</v>
      </c>
      <c r="B394" t="s">
        <v>461</v>
      </c>
      <c r="C394" s="34">
        <v>9</v>
      </c>
      <c r="D394" s="33" t="s">
        <v>119</v>
      </c>
    </row>
    <row r="395" spans="1:4" x14ac:dyDescent="0.3">
      <c r="A395" t="s">
        <v>460</v>
      </c>
      <c r="B395" t="s">
        <v>461</v>
      </c>
      <c r="C395" s="34">
        <v>6</v>
      </c>
      <c r="D395" s="33" t="s">
        <v>119</v>
      </c>
    </row>
    <row r="396" spans="1:4" x14ac:dyDescent="0.3">
      <c r="A396" t="s">
        <v>385</v>
      </c>
      <c r="B396" t="s">
        <v>461</v>
      </c>
      <c r="C396" s="34">
        <v>2</v>
      </c>
      <c r="D396" s="33" t="s">
        <v>119</v>
      </c>
    </row>
    <row r="397" spans="1:4" x14ac:dyDescent="0.3">
      <c r="A397" t="s">
        <v>391</v>
      </c>
      <c r="B397" t="s">
        <v>461</v>
      </c>
      <c r="C397" s="34">
        <v>3</v>
      </c>
      <c r="D397" s="33" t="s">
        <v>119</v>
      </c>
    </row>
    <row r="398" spans="1:4" x14ac:dyDescent="0.3">
      <c r="A398" t="s">
        <v>378</v>
      </c>
      <c r="B398" t="s">
        <v>461</v>
      </c>
      <c r="C398" s="34">
        <v>5</v>
      </c>
      <c r="D398" s="33" t="s">
        <v>119</v>
      </c>
    </row>
    <row r="399" spans="1:4" x14ac:dyDescent="0.3">
      <c r="A399" t="s">
        <v>436</v>
      </c>
      <c r="B399" t="s">
        <v>456</v>
      </c>
      <c r="C399" s="34">
        <v>9</v>
      </c>
      <c r="D399" s="33" t="s">
        <v>119</v>
      </c>
    </row>
    <row r="400" spans="1:4" x14ac:dyDescent="0.3">
      <c r="A400" t="s">
        <v>430</v>
      </c>
      <c r="B400" t="s">
        <v>456</v>
      </c>
      <c r="C400" s="34">
        <v>1</v>
      </c>
      <c r="D400" s="33" t="s">
        <v>119</v>
      </c>
    </row>
    <row r="401" spans="1:4" x14ac:dyDescent="0.3">
      <c r="A401" t="s">
        <v>435</v>
      </c>
      <c r="B401" t="s">
        <v>456</v>
      </c>
      <c r="C401" s="34">
        <v>2</v>
      </c>
      <c r="D401" s="33" t="s">
        <v>119</v>
      </c>
    </row>
    <row r="402" spans="1:4" x14ac:dyDescent="0.3">
      <c r="A402" t="s">
        <v>498</v>
      </c>
      <c r="B402" t="s">
        <v>458</v>
      </c>
      <c r="C402" s="34">
        <v>1</v>
      </c>
      <c r="D402" s="33" t="s">
        <v>119</v>
      </c>
    </row>
    <row r="403" spans="1:4" x14ac:dyDescent="0.3">
      <c r="A403" t="s">
        <v>462</v>
      </c>
      <c r="B403" t="s">
        <v>456</v>
      </c>
      <c r="C403" s="34">
        <v>6</v>
      </c>
      <c r="D403" s="33" t="s">
        <v>119</v>
      </c>
    </row>
    <row r="404" spans="1:4" ht="15" thickBot="1" x14ac:dyDescent="0.35">
      <c r="A404" t="s">
        <v>407</v>
      </c>
      <c r="B404" t="s">
        <v>456</v>
      </c>
      <c r="C404" s="34">
        <v>7</v>
      </c>
      <c r="D404" s="33" t="s">
        <v>119</v>
      </c>
    </row>
    <row r="405" spans="1:4" x14ac:dyDescent="0.3">
      <c r="A405" s="25" t="s">
        <v>463</v>
      </c>
      <c r="B405" s="22"/>
      <c r="C405" s="23">
        <f>SUM(C354:C404)</f>
        <v>805</v>
      </c>
      <c r="D405" s="22"/>
    </row>
    <row r="408" spans="1:4" x14ac:dyDescent="0.3">
      <c r="A408" s="32" t="s">
        <v>499</v>
      </c>
      <c r="B408" s="32"/>
      <c r="C408" s="32"/>
      <c r="D408" s="32"/>
    </row>
    <row r="409" spans="1:4" x14ac:dyDescent="0.3">
      <c r="A409" t="s">
        <v>329</v>
      </c>
      <c r="B409" t="s">
        <v>456</v>
      </c>
      <c r="C409" s="34">
        <v>26</v>
      </c>
      <c r="D409" s="33" t="s">
        <v>119</v>
      </c>
    </row>
    <row r="410" spans="1:4" x14ac:dyDescent="0.3">
      <c r="A410" t="s">
        <v>292</v>
      </c>
      <c r="B410" t="s">
        <v>456</v>
      </c>
      <c r="C410" s="34">
        <v>1</v>
      </c>
      <c r="D410" s="33" t="s">
        <v>119</v>
      </c>
    </row>
    <row r="411" spans="1:4" x14ac:dyDescent="0.3">
      <c r="A411" t="s">
        <v>284</v>
      </c>
      <c r="B411" t="s">
        <v>456</v>
      </c>
      <c r="C411" s="34">
        <v>39</v>
      </c>
      <c r="D411" s="33" t="s">
        <v>119</v>
      </c>
    </row>
    <row r="412" spans="1:4" x14ac:dyDescent="0.3">
      <c r="A412" t="s">
        <v>317</v>
      </c>
      <c r="B412" t="s">
        <v>456</v>
      </c>
      <c r="C412" s="34">
        <v>10</v>
      </c>
      <c r="D412" s="33" t="s">
        <v>119</v>
      </c>
    </row>
    <row r="413" spans="1:4" x14ac:dyDescent="0.3">
      <c r="A413" t="s">
        <v>270</v>
      </c>
      <c r="B413" t="s">
        <v>456</v>
      </c>
      <c r="C413" s="34">
        <v>1</v>
      </c>
      <c r="D413" s="33" t="s">
        <v>119</v>
      </c>
    </row>
    <row r="414" spans="1:4" x14ac:dyDescent="0.3">
      <c r="A414" t="s">
        <v>313</v>
      </c>
      <c r="B414" t="s">
        <v>456</v>
      </c>
      <c r="C414" s="34">
        <v>4</v>
      </c>
      <c r="D414" s="33" t="s">
        <v>119</v>
      </c>
    </row>
    <row r="415" spans="1:4" x14ac:dyDescent="0.3">
      <c r="A415" t="s">
        <v>275</v>
      </c>
      <c r="B415" t="s">
        <v>456</v>
      </c>
      <c r="C415" s="34">
        <v>9</v>
      </c>
      <c r="D415" s="33" t="s">
        <v>119</v>
      </c>
    </row>
    <row r="416" spans="1:4" x14ac:dyDescent="0.3">
      <c r="A416" t="s">
        <v>491</v>
      </c>
      <c r="B416" t="s">
        <v>458</v>
      </c>
      <c r="C416" s="34">
        <v>5</v>
      </c>
      <c r="D416" s="33" t="s">
        <v>119</v>
      </c>
    </row>
    <row r="417" spans="1:4" x14ac:dyDescent="0.3">
      <c r="A417" t="s">
        <v>451</v>
      </c>
      <c r="B417" t="s">
        <v>458</v>
      </c>
      <c r="C417" s="34">
        <v>42</v>
      </c>
      <c r="D417" s="33" t="s">
        <v>119</v>
      </c>
    </row>
    <row r="418" spans="1:4" x14ac:dyDescent="0.3">
      <c r="A418" t="s">
        <v>459</v>
      </c>
      <c r="B418" t="s">
        <v>458</v>
      </c>
      <c r="C418" s="34">
        <v>1</v>
      </c>
      <c r="D418" s="33" t="s">
        <v>119</v>
      </c>
    </row>
    <row r="419" spans="1:4" x14ac:dyDescent="0.3">
      <c r="A419" t="s">
        <v>174</v>
      </c>
      <c r="B419" t="s">
        <v>457</v>
      </c>
      <c r="C419" s="34">
        <v>4</v>
      </c>
      <c r="D419" s="33" t="s">
        <v>119</v>
      </c>
    </row>
    <row r="420" spans="1:4" x14ac:dyDescent="0.3">
      <c r="A420" t="s">
        <v>160</v>
      </c>
      <c r="B420" t="s">
        <v>457</v>
      </c>
      <c r="C420" s="34">
        <v>62</v>
      </c>
      <c r="D420" s="33" t="s">
        <v>119</v>
      </c>
    </row>
    <row r="421" spans="1:4" x14ac:dyDescent="0.3">
      <c r="A421" t="s">
        <v>158</v>
      </c>
      <c r="B421" t="s">
        <v>457</v>
      </c>
      <c r="C421" s="34">
        <v>47</v>
      </c>
      <c r="D421" s="33" t="s">
        <v>119</v>
      </c>
    </row>
    <row r="422" spans="1:4" x14ac:dyDescent="0.3">
      <c r="A422" t="s">
        <v>139</v>
      </c>
      <c r="B422" t="s">
        <v>457</v>
      </c>
      <c r="C422" s="34">
        <v>2</v>
      </c>
      <c r="D422" s="33" t="s">
        <v>119</v>
      </c>
    </row>
    <row r="423" spans="1:4" x14ac:dyDescent="0.3">
      <c r="A423" t="s">
        <v>197</v>
      </c>
      <c r="B423" t="s">
        <v>457</v>
      </c>
      <c r="C423" s="34">
        <v>3</v>
      </c>
      <c r="D423" s="33" t="s">
        <v>119</v>
      </c>
    </row>
    <row r="424" spans="1:4" x14ac:dyDescent="0.3">
      <c r="A424" t="s">
        <v>134</v>
      </c>
      <c r="B424" t="s">
        <v>457</v>
      </c>
      <c r="C424" s="34">
        <v>1</v>
      </c>
      <c r="D424" s="33" t="s">
        <v>119</v>
      </c>
    </row>
    <row r="425" spans="1:4" x14ac:dyDescent="0.3">
      <c r="A425" t="s">
        <v>220</v>
      </c>
      <c r="B425" t="s">
        <v>457</v>
      </c>
      <c r="C425" s="34">
        <v>7</v>
      </c>
      <c r="D425" s="33" t="s">
        <v>119</v>
      </c>
    </row>
    <row r="426" spans="1:4" x14ac:dyDescent="0.3">
      <c r="A426" t="s">
        <v>335</v>
      </c>
      <c r="B426" t="s">
        <v>457</v>
      </c>
      <c r="C426" s="34">
        <v>7</v>
      </c>
      <c r="D426" s="33" t="s">
        <v>119</v>
      </c>
    </row>
    <row r="427" spans="1:4" x14ac:dyDescent="0.3">
      <c r="A427" t="s">
        <v>264</v>
      </c>
      <c r="B427" t="s">
        <v>457</v>
      </c>
      <c r="C427" s="34">
        <v>2</v>
      </c>
      <c r="D427" s="33" t="s">
        <v>119</v>
      </c>
    </row>
    <row r="428" spans="1:4" x14ac:dyDescent="0.3">
      <c r="A428" t="s">
        <v>343</v>
      </c>
      <c r="B428" t="s">
        <v>457</v>
      </c>
      <c r="C428" s="34">
        <v>1</v>
      </c>
      <c r="D428" s="33" t="s">
        <v>119</v>
      </c>
    </row>
    <row r="429" spans="1:4" x14ac:dyDescent="0.3">
      <c r="A429" t="s">
        <v>265</v>
      </c>
      <c r="B429" t="s">
        <v>457</v>
      </c>
      <c r="C429" s="34">
        <v>1</v>
      </c>
      <c r="D429" s="33" t="s">
        <v>119</v>
      </c>
    </row>
    <row r="430" spans="1:4" x14ac:dyDescent="0.3">
      <c r="A430" t="s">
        <v>395</v>
      </c>
      <c r="B430" t="s">
        <v>457</v>
      </c>
      <c r="C430" s="34">
        <v>11</v>
      </c>
      <c r="D430" s="33" t="s">
        <v>119</v>
      </c>
    </row>
    <row r="431" spans="1:4" x14ac:dyDescent="0.3">
      <c r="A431" t="s">
        <v>382</v>
      </c>
      <c r="B431" t="s">
        <v>457</v>
      </c>
      <c r="C431" s="34">
        <v>1</v>
      </c>
      <c r="D431" s="33" t="s">
        <v>119</v>
      </c>
    </row>
    <row r="432" spans="1:4" x14ac:dyDescent="0.3">
      <c r="A432" t="s">
        <v>392</v>
      </c>
      <c r="B432" t="s">
        <v>457</v>
      </c>
      <c r="C432" s="34">
        <v>1</v>
      </c>
      <c r="D432" s="33" t="s">
        <v>119</v>
      </c>
    </row>
    <row r="433" spans="1:4" x14ac:dyDescent="0.3">
      <c r="A433" t="s">
        <v>391</v>
      </c>
      <c r="B433" t="s">
        <v>457</v>
      </c>
      <c r="C433" s="34">
        <v>3</v>
      </c>
      <c r="D433" s="33" t="s">
        <v>119</v>
      </c>
    </row>
    <row r="434" spans="1:4" x14ac:dyDescent="0.3">
      <c r="A434" t="s">
        <v>364</v>
      </c>
      <c r="B434" t="s">
        <v>457</v>
      </c>
      <c r="C434" s="34">
        <v>1</v>
      </c>
      <c r="D434" s="33" t="s">
        <v>119</v>
      </c>
    </row>
    <row r="435" spans="1:4" x14ac:dyDescent="0.3">
      <c r="A435" t="s">
        <v>468</v>
      </c>
      <c r="B435" t="s">
        <v>458</v>
      </c>
      <c r="C435" s="34">
        <v>4</v>
      </c>
      <c r="D435" s="33" t="s">
        <v>119</v>
      </c>
    </row>
    <row r="436" spans="1:4" x14ac:dyDescent="0.3">
      <c r="A436" t="s">
        <v>470</v>
      </c>
      <c r="B436" t="s">
        <v>456</v>
      </c>
      <c r="C436" s="34">
        <v>10</v>
      </c>
      <c r="D436" s="33" t="s">
        <v>119</v>
      </c>
    </row>
    <row r="437" spans="1:4" x14ac:dyDescent="0.3">
      <c r="A437" t="s">
        <v>469</v>
      </c>
      <c r="B437" t="s">
        <v>456</v>
      </c>
      <c r="C437" s="34">
        <v>2</v>
      </c>
      <c r="D437" s="33" t="s">
        <v>119</v>
      </c>
    </row>
    <row r="438" spans="1:4" x14ac:dyDescent="0.3">
      <c r="A438" t="s">
        <v>402</v>
      </c>
      <c r="B438" t="s">
        <v>456</v>
      </c>
      <c r="C438" s="34">
        <v>2</v>
      </c>
      <c r="D438" s="33" t="s">
        <v>119</v>
      </c>
    </row>
    <row r="439" spans="1:4" x14ac:dyDescent="0.3">
      <c r="A439" t="s">
        <v>465</v>
      </c>
      <c r="B439" t="s">
        <v>457</v>
      </c>
      <c r="C439" s="34">
        <v>1</v>
      </c>
      <c r="D439" s="33" t="s">
        <v>119</v>
      </c>
    </row>
    <row r="440" spans="1:4" x14ac:dyDescent="0.3">
      <c r="A440" t="s">
        <v>462</v>
      </c>
      <c r="B440" t="s">
        <v>456</v>
      </c>
      <c r="C440" s="34">
        <v>5</v>
      </c>
      <c r="D440" s="33" t="s">
        <v>119</v>
      </c>
    </row>
    <row r="441" spans="1:4" x14ac:dyDescent="0.3">
      <c r="A441" t="s">
        <v>430</v>
      </c>
      <c r="B441" t="s">
        <v>456</v>
      </c>
      <c r="C441" s="34">
        <v>5</v>
      </c>
      <c r="D441" s="33" t="s">
        <v>119</v>
      </c>
    </row>
    <row r="442" spans="1:4" x14ac:dyDescent="0.3">
      <c r="A442" t="s">
        <v>204</v>
      </c>
      <c r="B442" t="s">
        <v>457</v>
      </c>
      <c r="C442" s="34">
        <v>10</v>
      </c>
      <c r="D442" s="33" t="s">
        <v>119</v>
      </c>
    </row>
    <row r="443" spans="1:4" ht="15" thickBot="1" x14ac:dyDescent="0.35">
      <c r="A443" t="s">
        <v>223</v>
      </c>
      <c r="B443" t="s">
        <v>457</v>
      </c>
      <c r="C443" s="34">
        <v>2</v>
      </c>
      <c r="D443" s="33" t="s">
        <v>119</v>
      </c>
    </row>
    <row r="444" spans="1:4" x14ac:dyDescent="0.3">
      <c r="A444" s="25" t="s">
        <v>463</v>
      </c>
      <c r="B444" s="22"/>
      <c r="C444" s="23">
        <f>SUM(C409:C443)</f>
        <v>333</v>
      </c>
      <c r="D444" s="22"/>
    </row>
    <row r="446" spans="1:4" x14ac:dyDescent="0.3">
      <c r="A446" s="32" t="s">
        <v>500</v>
      </c>
      <c r="B446" s="32"/>
      <c r="C446" s="32"/>
      <c r="D446" s="32"/>
    </row>
    <row r="447" spans="1:4" x14ac:dyDescent="0.3">
      <c r="A447" t="s">
        <v>137</v>
      </c>
      <c r="B447" t="s">
        <v>457</v>
      </c>
      <c r="C447" s="34">
        <v>36</v>
      </c>
      <c r="D447" s="33" t="s">
        <v>119</v>
      </c>
    </row>
    <row r="448" spans="1:4" x14ac:dyDescent="0.3">
      <c r="A448" t="s">
        <v>139</v>
      </c>
      <c r="B448" t="s">
        <v>457</v>
      </c>
      <c r="C448" s="34">
        <v>15</v>
      </c>
      <c r="D448" s="33" t="s">
        <v>119</v>
      </c>
    </row>
    <row r="449" spans="1:4" x14ac:dyDescent="0.3">
      <c r="A449" t="s">
        <v>132</v>
      </c>
      <c r="B449" t="s">
        <v>457</v>
      </c>
      <c r="C449" s="34">
        <v>11</v>
      </c>
      <c r="D449" s="33" t="s">
        <v>119</v>
      </c>
    </row>
    <row r="450" spans="1:4" x14ac:dyDescent="0.3">
      <c r="A450" t="s">
        <v>135</v>
      </c>
      <c r="B450" t="s">
        <v>457</v>
      </c>
      <c r="C450" s="34">
        <v>2</v>
      </c>
      <c r="D450" s="33" t="s">
        <v>119</v>
      </c>
    </row>
    <row r="451" spans="1:4" x14ac:dyDescent="0.3">
      <c r="A451" t="s">
        <v>134</v>
      </c>
      <c r="B451" t="s">
        <v>457</v>
      </c>
      <c r="C451" s="34">
        <v>1</v>
      </c>
      <c r="D451" s="33" t="s">
        <v>119</v>
      </c>
    </row>
    <row r="452" spans="1:4" x14ac:dyDescent="0.3">
      <c r="A452" t="s">
        <v>160</v>
      </c>
      <c r="B452" t="s">
        <v>457</v>
      </c>
      <c r="C452" s="34">
        <v>3</v>
      </c>
      <c r="D452" s="33" t="s">
        <v>119</v>
      </c>
    </row>
    <row r="453" spans="1:4" x14ac:dyDescent="0.3">
      <c r="A453" t="s">
        <v>174</v>
      </c>
      <c r="B453" t="s">
        <v>457</v>
      </c>
      <c r="C453" s="34">
        <v>10</v>
      </c>
      <c r="D453" s="33" t="s">
        <v>119</v>
      </c>
    </row>
    <row r="454" spans="1:4" x14ac:dyDescent="0.3">
      <c r="A454" t="s">
        <v>149</v>
      </c>
      <c r="B454" t="s">
        <v>457</v>
      </c>
      <c r="C454" s="34">
        <v>7</v>
      </c>
      <c r="D454" s="33" t="s">
        <v>119</v>
      </c>
    </row>
    <row r="455" spans="1:4" x14ac:dyDescent="0.3">
      <c r="A455" t="s">
        <v>128</v>
      </c>
      <c r="B455" t="s">
        <v>457</v>
      </c>
      <c r="C455" s="34">
        <v>2</v>
      </c>
      <c r="D455" s="33" t="s">
        <v>119</v>
      </c>
    </row>
    <row r="456" spans="1:4" x14ac:dyDescent="0.3">
      <c r="A456" t="s">
        <v>158</v>
      </c>
      <c r="B456" t="s">
        <v>457</v>
      </c>
      <c r="C456" s="34">
        <v>1</v>
      </c>
      <c r="D456" s="33" t="s">
        <v>119</v>
      </c>
    </row>
    <row r="457" spans="1:4" x14ac:dyDescent="0.3">
      <c r="A457" t="s">
        <v>183</v>
      </c>
      <c r="B457" t="s">
        <v>457</v>
      </c>
      <c r="C457" s="34">
        <v>3</v>
      </c>
      <c r="D457" s="33" t="s">
        <v>119</v>
      </c>
    </row>
    <row r="458" spans="1:4" x14ac:dyDescent="0.3">
      <c r="A458" t="s">
        <v>192</v>
      </c>
      <c r="B458" t="s">
        <v>457</v>
      </c>
      <c r="C458" s="34">
        <v>1</v>
      </c>
      <c r="D458" s="33" t="s">
        <v>119</v>
      </c>
    </row>
    <row r="459" spans="1:4" x14ac:dyDescent="0.3">
      <c r="A459" t="s">
        <v>220</v>
      </c>
      <c r="B459" t="s">
        <v>457</v>
      </c>
      <c r="C459" s="34">
        <v>7</v>
      </c>
      <c r="D459" s="33" t="s">
        <v>119</v>
      </c>
    </row>
    <row r="460" spans="1:4" x14ac:dyDescent="0.3">
      <c r="A460" t="s">
        <v>219</v>
      </c>
      <c r="B460" t="s">
        <v>457</v>
      </c>
      <c r="C460" s="34">
        <v>4</v>
      </c>
      <c r="D460" s="33" t="s">
        <v>119</v>
      </c>
    </row>
    <row r="461" spans="1:4" x14ac:dyDescent="0.3">
      <c r="A461" t="s">
        <v>476</v>
      </c>
      <c r="B461" t="s">
        <v>458</v>
      </c>
      <c r="C461" s="34">
        <v>1</v>
      </c>
      <c r="D461" s="33" t="s">
        <v>119</v>
      </c>
    </row>
    <row r="462" spans="1:4" x14ac:dyDescent="0.3">
      <c r="A462" t="s">
        <v>212</v>
      </c>
      <c r="B462" t="s">
        <v>457</v>
      </c>
      <c r="C462" s="34">
        <v>6</v>
      </c>
      <c r="D462" s="33" t="s">
        <v>119</v>
      </c>
    </row>
    <row r="463" spans="1:4" x14ac:dyDescent="0.3">
      <c r="A463" t="s">
        <v>222</v>
      </c>
      <c r="B463" t="s">
        <v>457</v>
      </c>
      <c r="C463" s="34">
        <v>2</v>
      </c>
      <c r="D463" s="33" t="s">
        <v>119</v>
      </c>
    </row>
    <row r="464" spans="1:4" x14ac:dyDescent="0.3">
      <c r="A464" t="s">
        <v>482</v>
      </c>
      <c r="B464" t="s">
        <v>480</v>
      </c>
      <c r="C464" s="34">
        <v>1</v>
      </c>
      <c r="D464" s="33" t="s">
        <v>119</v>
      </c>
    </row>
    <row r="465" spans="1:4" x14ac:dyDescent="0.3">
      <c r="A465" t="s">
        <v>225</v>
      </c>
      <c r="B465" t="s">
        <v>457</v>
      </c>
      <c r="C465" s="34">
        <v>8</v>
      </c>
      <c r="D465" s="33" t="s">
        <v>119</v>
      </c>
    </row>
    <row r="466" spans="1:4" x14ac:dyDescent="0.3">
      <c r="A466" t="s">
        <v>264</v>
      </c>
      <c r="B466" t="s">
        <v>457</v>
      </c>
      <c r="C466" s="34">
        <v>2</v>
      </c>
      <c r="D466" s="33" t="s">
        <v>119</v>
      </c>
    </row>
    <row r="467" spans="1:4" x14ac:dyDescent="0.3">
      <c r="A467" t="s">
        <v>343</v>
      </c>
      <c r="B467" t="s">
        <v>457</v>
      </c>
      <c r="C467" s="34">
        <v>7</v>
      </c>
      <c r="D467" s="33" t="s">
        <v>119</v>
      </c>
    </row>
    <row r="468" spans="1:4" x14ac:dyDescent="0.3">
      <c r="A468" t="s">
        <v>453</v>
      </c>
      <c r="B468" t="s">
        <v>456</v>
      </c>
      <c r="C468" s="34">
        <v>11</v>
      </c>
      <c r="D468" s="33" t="s">
        <v>119</v>
      </c>
    </row>
    <row r="469" spans="1:4" x14ac:dyDescent="0.3">
      <c r="A469" t="s">
        <v>402</v>
      </c>
      <c r="B469" t="s">
        <v>456</v>
      </c>
      <c r="C469" s="34">
        <v>1</v>
      </c>
      <c r="D469" s="33" t="s">
        <v>119</v>
      </c>
    </row>
    <row r="470" spans="1:4" x14ac:dyDescent="0.3">
      <c r="A470" t="s">
        <v>403</v>
      </c>
      <c r="B470" t="s">
        <v>456</v>
      </c>
      <c r="C470" s="34">
        <v>1</v>
      </c>
      <c r="D470" s="33" t="s">
        <v>119</v>
      </c>
    </row>
    <row r="471" spans="1:4" x14ac:dyDescent="0.3">
      <c r="A471" t="s">
        <v>483</v>
      </c>
      <c r="B471" t="s">
        <v>458</v>
      </c>
      <c r="C471" s="34">
        <v>7</v>
      </c>
      <c r="D471" s="33" t="s">
        <v>119</v>
      </c>
    </row>
    <row r="472" spans="1:4" x14ac:dyDescent="0.3">
      <c r="A472" t="s">
        <v>395</v>
      </c>
      <c r="B472" t="s">
        <v>461</v>
      </c>
      <c r="C472" s="34">
        <v>8</v>
      </c>
      <c r="D472" s="33" t="s">
        <v>119</v>
      </c>
    </row>
    <row r="473" spans="1:4" x14ac:dyDescent="0.3">
      <c r="A473" t="s">
        <v>383</v>
      </c>
      <c r="B473" t="s">
        <v>461</v>
      </c>
      <c r="C473" s="34">
        <v>3</v>
      </c>
      <c r="D473" s="33" t="s">
        <v>119</v>
      </c>
    </row>
    <row r="474" spans="1:4" x14ac:dyDescent="0.3">
      <c r="A474" t="s">
        <v>382</v>
      </c>
      <c r="B474" t="s">
        <v>461</v>
      </c>
      <c r="C474" s="34">
        <v>3</v>
      </c>
      <c r="D474" s="33" t="s">
        <v>119</v>
      </c>
    </row>
    <row r="475" spans="1:4" x14ac:dyDescent="0.3">
      <c r="A475" t="s">
        <v>200</v>
      </c>
      <c r="B475" t="s">
        <v>457</v>
      </c>
      <c r="C475" s="34">
        <v>5</v>
      </c>
      <c r="D475" s="33" t="s">
        <v>119</v>
      </c>
    </row>
    <row r="476" spans="1:4" x14ac:dyDescent="0.3">
      <c r="A476" t="s">
        <v>364</v>
      </c>
      <c r="B476" t="s">
        <v>457</v>
      </c>
      <c r="C476" s="34">
        <v>17</v>
      </c>
      <c r="D476" s="33" t="s">
        <v>119</v>
      </c>
    </row>
    <row r="477" spans="1:4" x14ac:dyDescent="0.3">
      <c r="A477" t="s">
        <v>468</v>
      </c>
      <c r="B477" t="s">
        <v>458</v>
      </c>
      <c r="C477" s="34">
        <v>8</v>
      </c>
      <c r="D477" s="33" t="s">
        <v>119</v>
      </c>
    </row>
    <row r="478" spans="1:4" x14ac:dyDescent="0.3">
      <c r="A478" t="s">
        <v>462</v>
      </c>
      <c r="B478" t="s">
        <v>456</v>
      </c>
      <c r="C478" s="34">
        <v>3</v>
      </c>
      <c r="D478" s="33" t="s">
        <v>119</v>
      </c>
    </row>
    <row r="479" spans="1:4" x14ac:dyDescent="0.3">
      <c r="A479" t="s">
        <v>450</v>
      </c>
      <c r="B479" t="s">
        <v>458</v>
      </c>
      <c r="C479" s="34">
        <v>43</v>
      </c>
      <c r="D479" s="33" t="s">
        <v>119</v>
      </c>
    </row>
    <row r="480" spans="1:4" x14ac:dyDescent="0.3">
      <c r="A480" t="s">
        <v>481</v>
      </c>
      <c r="B480" t="s">
        <v>458</v>
      </c>
      <c r="C480" s="34">
        <v>12</v>
      </c>
      <c r="D480" s="33" t="s">
        <v>119</v>
      </c>
    </row>
    <row r="481" spans="1:4" x14ac:dyDescent="0.3">
      <c r="A481" t="s">
        <v>454</v>
      </c>
      <c r="B481" t="s">
        <v>458</v>
      </c>
      <c r="C481" s="34">
        <v>11</v>
      </c>
      <c r="D481" s="33" t="s">
        <v>119</v>
      </c>
    </row>
    <row r="482" spans="1:4" x14ac:dyDescent="0.3">
      <c r="A482" t="s">
        <v>479</v>
      </c>
      <c r="B482" t="s">
        <v>458</v>
      </c>
      <c r="C482" s="34">
        <v>1</v>
      </c>
      <c r="D482" s="33" t="s">
        <v>119</v>
      </c>
    </row>
    <row r="483" spans="1:4" x14ac:dyDescent="0.3">
      <c r="A483" t="s">
        <v>317</v>
      </c>
      <c r="B483" t="s">
        <v>456</v>
      </c>
      <c r="C483" s="34">
        <v>95</v>
      </c>
      <c r="D483" s="33" t="s">
        <v>119</v>
      </c>
    </row>
    <row r="484" spans="1:4" x14ac:dyDescent="0.3">
      <c r="A484" t="s">
        <v>306</v>
      </c>
      <c r="B484" t="s">
        <v>456</v>
      </c>
      <c r="C484" s="34">
        <v>2</v>
      </c>
      <c r="D484" s="33" t="s">
        <v>119</v>
      </c>
    </row>
    <row r="485" spans="1:4" x14ac:dyDescent="0.3">
      <c r="A485" t="s">
        <v>288</v>
      </c>
      <c r="B485" t="s">
        <v>456</v>
      </c>
      <c r="C485" s="34">
        <v>17</v>
      </c>
      <c r="D485" s="33" t="s">
        <v>119</v>
      </c>
    </row>
    <row r="486" spans="1:4" x14ac:dyDescent="0.3">
      <c r="A486" t="s">
        <v>284</v>
      </c>
      <c r="B486" t="s">
        <v>456</v>
      </c>
      <c r="C486" s="34">
        <v>34</v>
      </c>
      <c r="D486" s="33" t="s">
        <v>119</v>
      </c>
    </row>
    <row r="487" spans="1:4" x14ac:dyDescent="0.3">
      <c r="A487" t="s">
        <v>275</v>
      </c>
      <c r="B487" t="s">
        <v>456</v>
      </c>
      <c r="C487" s="34">
        <v>15</v>
      </c>
      <c r="D487" s="33" t="s">
        <v>119</v>
      </c>
    </row>
    <row r="488" spans="1:4" x14ac:dyDescent="0.3">
      <c r="A488" t="s">
        <v>328</v>
      </c>
      <c r="B488" t="s">
        <v>456</v>
      </c>
      <c r="C488" s="34">
        <v>1</v>
      </c>
      <c r="D488" s="33" t="s">
        <v>119</v>
      </c>
    </row>
    <row r="489" spans="1:4" x14ac:dyDescent="0.3">
      <c r="A489" t="s">
        <v>329</v>
      </c>
      <c r="B489" t="s">
        <v>456</v>
      </c>
      <c r="C489" s="34">
        <v>8</v>
      </c>
      <c r="D489" s="33" t="s">
        <v>119</v>
      </c>
    </row>
    <row r="490" spans="1:4" ht="15" thickBot="1" x14ac:dyDescent="0.35">
      <c r="A490" t="s">
        <v>302</v>
      </c>
      <c r="B490" t="s">
        <v>456</v>
      </c>
      <c r="C490" s="34">
        <v>5</v>
      </c>
      <c r="D490" s="33" t="s">
        <v>119</v>
      </c>
    </row>
    <row r="491" spans="1:4" x14ac:dyDescent="0.3">
      <c r="A491" s="25" t="s">
        <v>463</v>
      </c>
      <c r="B491" s="22"/>
      <c r="C491" s="23">
        <f>SUM(C447:C490)</f>
        <v>441</v>
      </c>
      <c r="D491" s="22"/>
    </row>
    <row r="493" spans="1:4" x14ac:dyDescent="0.3">
      <c r="A493" s="32" t="s">
        <v>501</v>
      </c>
      <c r="B493" s="32"/>
      <c r="C493" s="32"/>
      <c r="D493" s="32"/>
    </row>
    <row r="494" spans="1:4" x14ac:dyDescent="0.3">
      <c r="A494" t="s">
        <v>329</v>
      </c>
      <c r="B494" t="s">
        <v>456</v>
      </c>
      <c r="C494" s="34">
        <v>7</v>
      </c>
      <c r="D494" s="33" t="s">
        <v>119</v>
      </c>
    </row>
    <row r="495" spans="1:4" x14ac:dyDescent="0.3">
      <c r="A495" t="s">
        <v>288</v>
      </c>
      <c r="B495" t="s">
        <v>456</v>
      </c>
      <c r="C495" s="34">
        <v>5</v>
      </c>
      <c r="D495" s="33" t="s">
        <v>119</v>
      </c>
    </row>
    <row r="496" spans="1:4" x14ac:dyDescent="0.3">
      <c r="A496" t="s">
        <v>275</v>
      </c>
      <c r="B496" t="s">
        <v>456</v>
      </c>
      <c r="C496" s="34">
        <v>3</v>
      </c>
      <c r="D496" s="33" t="s">
        <v>119</v>
      </c>
    </row>
    <row r="497" spans="1:4" x14ac:dyDescent="0.3">
      <c r="A497" t="s">
        <v>317</v>
      </c>
      <c r="B497" t="s">
        <v>456</v>
      </c>
      <c r="C497" s="34">
        <v>4</v>
      </c>
      <c r="D497" s="33" t="s">
        <v>119</v>
      </c>
    </row>
    <row r="498" spans="1:4" x14ac:dyDescent="0.3">
      <c r="A498" t="s">
        <v>283</v>
      </c>
      <c r="B498" t="s">
        <v>456</v>
      </c>
      <c r="C498" s="34">
        <v>145</v>
      </c>
      <c r="D498" s="33" t="s">
        <v>119</v>
      </c>
    </row>
    <row r="499" spans="1:4" x14ac:dyDescent="0.3">
      <c r="A499" t="s">
        <v>450</v>
      </c>
      <c r="B499" t="s">
        <v>458</v>
      </c>
      <c r="C499" s="34">
        <v>7</v>
      </c>
      <c r="D499" s="33" t="s">
        <v>119</v>
      </c>
    </row>
    <row r="500" spans="1:4" x14ac:dyDescent="0.3">
      <c r="A500" t="s">
        <v>459</v>
      </c>
      <c r="B500" t="s">
        <v>458</v>
      </c>
      <c r="C500" s="34">
        <v>3</v>
      </c>
      <c r="D500" s="33" t="s">
        <v>119</v>
      </c>
    </row>
    <row r="501" spans="1:4" x14ac:dyDescent="0.3">
      <c r="A501" t="s">
        <v>502</v>
      </c>
      <c r="B501" t="s">
        <v>458</v>
      </c>
      <c r="C501" s="34">
        <v>2</v>
      </c>
      <c r="D501" s="33" t="s">
        <v>119</v>
      </c>
    </row>
    <row r="502" spans="1:4" x14ac:dyDescent="0.3">
      <c r="A502" t="s">
        <v>454</v>
      </c>
      <c r="B502" t="s">
        <v>458</v>
      </c>
      <c r="C502" s="34">
        <v>6</v>
      </c>
      <c r="D502" s="33" t="s">
        <v>119</v>
      </c>
    </row>
    <row r="503" spans="1:4" x14ac:dyDescent="0.3">
      <c r="A503" t="s">
        <v>139</v>
      </c>
      <c r="B503" t="s">
        <v>457</v>
      </c>
      <c r="C503" s="34">
        <v>5</v>
      </c>
      <c r="D503" s="33" t="s">
        <v>119</v>
      </c>
    </row>
    <row r="504" spans="1:4" x14ac:dyDescent="0.3">
      <c r="A504" t="s">
        <v>132</v>
      </c>
      <c r="B504" t="s">
        <v>457</v>
      </c>
      <c r="C504" s="34">
        <v>5</v>
      </c>
      <c r="D504" s="33" t="s">
        <v>119</v>
      </c>
    </row>
    <row r="505" spans="1:4" x14ac:dyDescent="0.3">
      <c r="A505" t="s">
        <v>137</v>
      </c>
      <c r="B505" t="s">
        <v>457</v>
      </c>
      <c r="C505" s="34">
        <v>9</v>
      </c>
      <c r="D505" s="33" t="s">
        <v>119</v>
      </c>
    </row>
    <row r="506" spans="1:4" x14ac:dyDescent="0.3">
      <c r="A506" t="s">
        <v>466</v>
      </c>
      <c r="B506" t="s">
        <v>458</v>
      </c>
      <c r="C506" s="34">
        <v>1</v>
      </c>
      <c r="D506" s="33" t="s">
        <v>119</v>
      </c>
    </row>
    <row r="507" spans="1:4" x14ac:dyDescent="0.3">
      <c r="A507" t="s">
        <v>134</v>
      </c>
      <c r="B507" t="s">
        <v>457</v>
      </c>
      <c r="C507" s="34">
        <v>6</v>
      </c>
      <c r="D507" s="33" t="s">
        <v>119</v>
      </c>
    </row>
    <row r="508" spans="1:4" x14ac:dyDescent="0.3">
      <c r="A508" t="s">
        <v>126</v>
      </c>
      <c r="B508" t="s">
        <v>457</v>
      </c>
      <c r="C508" s="34">
        <v>1</v>
      </c>
      <c r="D508" s="33" t="s">
        <v>119</v>
      </c>
    </row>
    <row r="509" spans="1:4" x14ac:dyDescent="0.3">
      <c r="A509" t="s">
        <v>174</v>
      </c>
      <c r="B509" t="s">
        <v>457</v>
      </c>
      <c r="C509" s="34">
        <v>32</v>
      </c>
      <c r="D509" s="33" t="s">
        <v>119</v>
      </c>
    </row>
    <row r="510" spans="1:4" x14ac:dyDescent="0.3">
      <c r="A510" t="s">
        <v>201</v>
      </c>
      <c r="B510" t="s">
        <v>457</v>
      </c>
      <c r="C510" s="34">
        <v>1</v>
      </c>
      <c r="D510" s="33" t="s">
        <v>119</v>
      </c>
    </row>
    <row r="511" spans="1:4" x14ac:dyDescent="0.3">
      <c r="A511" t="s">
        <v>239</v>
      </c>
      <c r="B511" t="s">
        <v>457</v>
      </c>
      <c r="C511" s="34">
        <v>26</v>
      </c>
      <c r="D511" s="33" t="s">
        <v>119</v>
      </c>
    </row>
    <row r="512" spans="1:4" x14ac:dyDescent="0.3">
      <c r="A512" t="s">
        <v>244</v>
      </c>
      <c r="B512" t="s">
        <v>457</v>
      </c>
      <c r="C512" s="34">
        <v>1</v>
      </c>
      <c r="D512" s="33" t="s">
        <v>119</v>
      </c>
    </row>
    <row r="513" spans="1:4" x14ac:dyDescent="0.3">
      <c r="A513" t="s">
        <v>215</v>
      </c>
      <c r="B513" t="s">
        <v>457</v>
      </c>
      <c r="C513" s="34">
        <v>1</v>
      </c>
      <c r="D513" s="33" t="s">
        <v>119</v>
      </c>
    </row>
    <row r="514" spans="1:4" x14ac:dyDescent="0.3">
      <c r="A514" t="s">
        <v>220</v>
      </c>
      <c r="B514" t="s">
        <v>457</v>
      </c>
      <c r="C514" s="34">
        <v>3</v>
      </c>
      <c r="D514" s="33" t="s">
        <v>119</v>
      </c>
    </row>
    <row r="515" spans="1:4" x14ac:dyDescent="0.3">
      <c r="A515" t="s">
        <v>212</v>
      </c>
      <c r="B515" t="s">
        <v>457</v>
      </c>
      <c r="C515" s="34">
        <v>1</v>
      </c>
      <c r="D515" s="33" t="s">
        <v>119</v>
      </c>
    </row>
    <row r="516" spans="1:4" x14ac:dyDescent="0.3">
      <c r="A516" t="s">
        <v>229</v>
      </c>
      <c r="B516" t="s">
        <v>457</v>
      </c>
      <c r="C516" s="34">
        <v>1</v>
      </c>
      <c r="D516" s="33" t="s">
        <v>119</v>
      </c>
    </row>
    <row r="517" spans="1:4" x14ac:dyDescent="0.3">
      <c r="A517" t="s">
        <v>225</v>
      </c>
      <c r="B517" t="s">
        <v>457</v>
      </c>
      <c r="C517" s="34">
        <v>1</v>
      </c>
      <c r="D517" s="33" t="s">
        <v>119</v>
      </c>
    </row>
    <row r="518" spans="1:4" x14ac:dyDescent="0.3">
      <c r="A518" t="s">
        <v>223</v>
      </c>
      <c r="B518" t="s">
        <v>457</v>
      </c>
      <c r="C518" s="34">
        <v>1</v>
      </c>
      <c r="D518" s="33" t="s">
        <v>119</v>
      </c>
    </row>
    <row r="519" spans="1:4" x14ac:dyDescent="0.3">
      <c r="A519" t="s">
        <v>233</v>
      </c>
      <c r="B519" t="s">
        <v>457</v>
      </c>
      <c r="C519" s="34">
        <v>1</v>
      </c>
      <c r="D519" s="33" t="s">
        <v>119</v>
      </c>
    </row>
    <row r="520" spans="1:4" x14ac:dyDescent="0.3">
      <c r="A520" t="s">
        <v>208</v>
      </c>
      <c r="B520" t="s">
        <v>457</v>
      </c>
      <c r="C520" s="34">
        <v>4</v>
      </c>
      <c r="D520" s="33" t="s">
        <v>119</v>
      </c>
    </row>
    <row r="521" spans="1:4" x14ac:dyDescent="0.3">
      <c r="A521" t="s">
        <v>343</v>
      </c>
      <c r="B521" t="s">
        <v>457</v>
      </c>
      <c r="C521" s="34">
        <v>3</v>
      </c>
      <c r="D521" s="33" t="s">
        <v>119</v>
      </c>
    </row>
    <row r="522" spans="1:4" x14ac:dyDescent="0.3">
      <c r="A522" t="s">
        <v>335</v>
      </c>
      <c r="B522" t="s">
        <v>457</v>
      </c>
      <c r="C522" s="34">
        <v>7</v>
      </c>
      <c r="D522" s="33" t="s">
        <v>119</v>
      </c>
    </row>
    <row r="523" spans="1:4" x14ac:dyDescent="0.3">
      <c r="A523" t="s">
        <v>364</v>
      </c>
      <c r="B523" t="s">
        <v>457</v>
      </c>
      <c r="C523" s="34">
        <v>4</v>
      </c>
      <c r="D523" s="33" t="s">
        <v>119</v>
      </c>
    </row>
    <row r="524" spans="1:4" x14ac:dyDescent="0.3">
      <c r="A524" t="s">
        <v>468</v>
      </c>
      <c r="B524" t="s">
        <v>458</v>
      </c>
      <c r="C524" s="34">
        <v>4</v>
      </c>
      <c r="D524" s="33" t="s">
        <v>119</v>
      </c>
    </row>
    <row r="525" spans="1:4" x14ac:dyDescent="0.3">
      <c r="A525" t="s">
        <v>496</v>
      </c>
      <c r="B525" t="s">
        <v>458</v>
      </c>
      <c r="C525" s="34">
        <v>2</v>
      </c>
      <c r="D525" s="33" t="s">
        <v>119</v>
      </c>
    </row>
    <row r="526" spans="1:4" x14ac:dyDescent="0.3">
      <c r="A526" t="s">
        <v>403</v>
      </c>
      <c r="B526" t="s">
        <v>456</v>
      </c>
      <c r="C526" s="34">
        <v>2</v>
      </c>
      <c r="D526" s="33" t="s">
        <v>119</v>
      </c>
    </row>
    <row r="527" spans="1:4" x14ac:dyDescent="0.3">
      <c r="A527" t="s">
        <v>402</v>
      </c>
      <c r="B527" t="s">
        <v>456</v>
      </c>
      <c r="C527" s="34">
        <v>1</v>
      </c>
      <c r="D527" s="33" t="s">
        <v>119</v>
      </c>
    </row>
    <row r="528" spans="1:4" x14ac:dyDescent="0.3">
      <c r="A528" t="s">
        <v>149</v>
      </c>
      <c r="B528" t="s">
        <v>457</v>
      </c>
      <c r="C528" s="34">
        <v>1</v>
      </c>
      <c r="D528" s="33" t="s">
        <v>119</v>
      </c>
    </row>
    <row r="529" spans="1:4" x14ac:dyDescent="0.3">
      <c r="A529" t="s">
        <v>253</v>
      </c>
      <c r="B529" t="s">
        <v>457</v>
      </c>
      <c r="C529" s="34">
        <v>1</v>
      </c>
      <c r="D529" s="33" t="s">
        <v>119</v>
      </c>
    </row>
    <row r="530" spans="1:4" x14ac:dyDescent="0.3">
      <c r="A530" t="s">
        <v>453</v>
      </c>
      <c r="B530" t="s">
        <v>456</v>
      </c>
      <c r="C530" s="34">
        <v>3</v>
      </c>
      <c r="D530" s="33" t="s">
        <v>119</v>
      </c>
    </row>
    <row r="531" spans="1:4" x14ac:dyDescent="0.3">
      <c r="A531" t="s">
        <v>385</v>
      </c>
      <c r="B531" t="s">
        <v>461</v>
      </c>
      <c r="C531" s="34">
        <v>1</v>
      </c>
      <c r="D531" s="33" t="s">
        <v>119</v>
      </c>
    </row>
    <row r="532" spans="1:4" x14ac:dyDescent="0.3">
      <c r="A532" t="s">
        <v>391</v>
      </c>
      <c r="B532" t="s">
        <v>461</v>
      </c>
      <c r="C532" s="34">
        <v>1</v>
      </c>
      <c r="D532" s="33" t="s">
        <v>119</v>
      </c>
    </row>
    <row r="533" spans="1:4" ht="15" thickBot="1" x14ac:dyDescent="0.35">
      <c r="A533" t="s">
        <v>407</v>
      </c>
      <c r="B533" t="s">
        <v>456</v>
      </c>
      <c r="C533" s="34">
        <v>3</v>
      </c>
      <c r="D533" s="33" t="s">
        <v>119</v>
      </c>
    </row>
    <row r="534" spans="1:4" x14ac:dyDescent="0.3">
      <c r="A534" s="25" t="s">
        <v>463</v>
      </c>
      <c r="B534" s="22"/>
      <c r="C534" s="23">
        <f>SUM(C494:C533)</f>
        <v>315</v>
      </c>
      <c r="D534" s="22"/>
    </row>
    <row r="536" spans="1:4" x14ac:dyDescent="0.3">
      <c r="A536" s="32" t="s">
        <v>503</v>
      </c>
      <c r="B536" s="32"/>
      <c r="C536" s="32"/>
      <c r="D536" s="32"/>
    </row>
    <row r="537" spans="1:4" x14ac:dyDescent="0.3">
      <c r="A537" t="s">
        <v>407</v>
      </c>
      <c r="B537" t="s">
        <v>456</v>
      </c>
      <c r="C537" s="34">
        <v>1</v>
      </c>
      <c r="D537" s="33" t="s">
        <v>119</v>
      </c>
    </row>
    <row r="538" spans="1:4" x14ac:dyDescent="0.3">
      <c r="A538" t="s">
        <v>306</v>
      </c>
      <c r="B538" t="s">
        <v>456</v>
      </c>
      <c r="C538" s="34">
        <v>7</v>
      </c>
      <c r="D538" s="33" t="s">
        <v>119</v>
      </c>
    </row>
    <row r="539" spans="1:4" x14ac:dyDescent="0.3">
      <c r="A539" t="s">
        <v>292</v>
      </c>
      <c r="B539" t="s">
        <v>456</v>
      </c>
      <c r="C539" s="34">
        <v>5</v>
      </c>
      <c r="D539" s="33" t="s">
        <v>119</v>
      </c>
    </row>
    <row r="540" spans="1:4" x14ac:dyDescent="0.3">
      <c r="A540" t="s">
        <v>283</v>
      </c>
      <c r="B540" t="s">
        <v>456</v>
      </c>
      <c r="C540" s="34">
        <v>7</v>
      </c>
      <c r="D540" s="33" t="s">
        <v>119</v>
      </c>
    </row>
    <row r="541" spans="1:4" x14ac:dyDescent="0.3">
      <c r="A541" t="s">
        <v>302</v>
      </c>
      <c r="B541" t="s">
        <v>456</v>
      </c>
      <c r="C541" s="34">
        <v>1</v>
      </c>
      <c r="D541" s="33" t="s">
        <v>119</v>
      </c>
    </row>
    <row r="542" spans="1:4" x14ac:dyDescent="0.3">
      <c r="A542" t="s">
        <v>316</v>
      </c>
      <c r="B542" t="s">
        <v>456</v>
      </c>
      <c r="C542" s="34">
        <v>3</v>
      </c>
      <c r="D542" s="33" t="s">
        <v>119</v>
      </c>
    </row>
    <row r="543" spans="1:4" x14ac:dyDescent="0.3">
      <c r="A543" t="s">
        <v>301</v>
      </c>
      <c r="B543" t="s">
        <v>456</v>
      </c>
      <c r="C543" s="34">
        <v>44</v>
      </c>
      <c r="D543" s="33" t="s">
        <v>119</v>
      </c>
    </row>
    <row r="544" spans="1:4" x14ac:dyDescent="0.3">
      <c r="A544" t="s">
        <v>329</v>
      </c>
      <c r="B544" t="s">
        <v>456</v>
      </c>
      <c r="C544" s="34">
        <v>7</v>
      </c>
      <c r="D544" s="33" t="s">
        <v>119</v>
      </c>
    </row>
    <row r="545" spans="1:4" x14ac:dyDescent="0.3">
      <c r="A545" t="s">
        <v>317</v>
      </c>
      <c r="B545" t="s">
        <v>456</v>
      </c>
      <c r="C545" s="34">
        <v>8</v>
      </c>
      <c r="D545" s="33" t="s">
        <v>119</v>
      </c>
    </row>
    <row r="546" spans="1:4" x14ac:dyDescent="0.3">
      <c r="A546" t="s">
        <v>311</v>
      </c>
      <c r="B546" t="s">
        <v>456</v>
      </c>
      <c r="C546" s="34">
        <v>4</v>
      </c>
      <c r="D546" s="33" t="s">
        <v>119</v>
      </c>
    </row>
    <row r="547" spans="1:4" x14ac:dyDescent="0.3">
      <c r="A547" t="s">
        <v>308</v>
      </c>
      <c r="B547" t="s">
        <v>456</v>
      </c>
      <c r="C547" s="34">
        <v>6</v>
      </c>
      <c r="D547" s="33" t="s">
        <v>119</v>
      </c>
    </row>
    <row r="548" spans="1:4" x14ac:dyDescent="0.3">
      <c r="A548" t="s">
        <v>474</v>
      </c>
      <c r="B548" t="s">
        <v>458</v>
      </c>
      <c r="C548" s="34">
        <v>9</v>
      </c>
      <c r="D548" s="33" t="s">
        <v>119</v>
      </c>
    </row>
    <row r="549" spans="1:4" x14ac:dyDescent="0.3">
      <c r="A549" t="s">
        <v>451</v>
      </c>
      <c r="B549" t="s">
        <v>458</v>
      </c>
      <c r="C549" s="34">
        <v>4</v>
      </c>
      <c r="D549" s="33" t="s">
        <v>119</v>
      </c>
    </row>
    <row r="550" spans="1:4" x14ac:dyDescent="0.3">
      <c r="A550" t="s">
        <v>450</v>
      </c>
      <c r="B550" t="s">
        <v>458</v>
      </c>
      <c r="C550" s="34">
        <v>18</v>
      </c>
      <c r="D550" s="33" t="s">
        <v>119</v>
      </c>
    </row>
    <row r="551" spans="1:4" x14ac:dyDescent="0.3">
      <c r="A551" t="s">
        <v>459</v>
      </c>
      <c r="B551" t="s">
        <v>458</v>
      </c>
      <c r="C551" s="34">
        <v>7</v>
      </c>
      <c r="D551" s="33" t="s">
        <v>119</v>
      </c>
    </row>
    <row r="552" spans="1:4" x14ac:dyDescent="0.3">
      <c r="A552" t="s">
        <v>481</v>
      </c>
      <c r="B552" t="s">
        <v>458</v>
      </c>
      <c r="C552" s="34">
        <v>1</v>
      </c>
      <c r="D552" s="33" t="s">
        <v>119</v>
      </c>
    </row>
    <row r="553" spans="1:4" x14ac:dyDescent="0.3">
      <c r="A553" t="s">
        <v>454</v>
      </c>
      <c r="B553" t="s">
        <v>458</v>
      </c>
      <c r="C553" s="34">
        <v>6</v>
      </c>
      <c r="D553" s="33" t="s">
        <v>119</v>
      </c>
    </row>
    <row r="554" spans="1:4" x14ac:dyDescent="0.3">
      <c r="A554" t="s">
        <v>502</v>
      </c>
      <c r="B554" t="s">
        <v>458</v>
      </c>
      <c r="C554" s="34">
        <v>2</v>
      </c>
      <c r="D554" s="33" t="s">
        <v>119</v>
      </c>
    </row>
    <row r="555" spans="1:4" x14ac:dyDescent="0.3">
      <c r="A555" t="s">
        <v>132</v>
      </c>
      <c r="B555" t="s">
        <v>457</v>
      </c>
      <c r="C555" s="34">
        <v>4</v>
      </c>
      <c r="D555" s="33" t="s">
        <v>119</v>
      </c>
    </row>
    <row r="556" spans="1:4" x14ac:dyDescent="0.3">
      <c r="A556" t="s">
        <v>126</v>
      </c>
      <c r="B556" t="s">
        <v>457</v>
      </c>
      <c r="C556" s="34">
        <v>1</v>
      </c>
      <c r="D556" s="33" t="s">
        <v>119</v>
      </c>
    </row>
    <row r="557" spans="1:4" x14ac:dyDescent="0.3">
      <c r="A557" t="s">
        <v>134</v>
      </c>
      <c r="B557" t="s">
        <v>457</v>
      </c>
      <c r="C557" s="34">
        <v>9</v>
      </c>
      <c r="D557" s="33" t="s">
        <v>119</v>
      </c>
    </row>
    <row r="558" spans="1:4" x14ac:dyDescent="0.3">
      <c r="A558" t="s">
        <v>139</v>
      </c>
      <c r="B558" t="s">
        <v>457</v>
      </c>
      <c r="C558" s="34">
        <v>6</v>
      </c>
      <c r="D558" s="33" t="s">
        <v>119</v>
      </c>
    </row>
    <row r="559" spans="1:4" x14ac:dyDescent="0.3">
      <c r="A559" t="s">
        <v>137</v>
      </c>
      <c r="B559" t="s">
        <v>457</v>
      </c>
      <c r="C559" s="34">
        <v>4</v>
      </c>
      <c r="D559" s="33" t="s">
        <v>119</v>
      </c>
    </row>
    <row r="560" spans="1:4" x14ac:dyDescent="0.3">
      <c r="A560" t="s">
        <v>466</v>
      </c>
      <c r="B560" t="s">
        <v>458</v>
      </c>
      <c r="C560" s="34">
        <v>2</v>
      </c>
      <c r="D560" s="33" t="s">
        <v>119</v>
      </c>
    </row>
    <row r="561" spans="1:4" x14ac:dyDescent="0.3">
      <c r="A561" t="s">
        <v>174</v>
      </c>
      <c r="B561" t="s">
        <v>457</v>
      </c>
      <c r="C561" s="34">
        <v>15</v>
      </c>
      <c r="D561" s="33" t="s">
        <v>119</v>
      </c>
    </row>
    <row r="562" spans="1:4" x14ac:dyDescent="0.3">
      <c r="A562" t="s">
        <v>171</v>
      </c>
      <c r="B562" t="s">
        <v>457</v>
      </c>
      <c r="C562" s="34">
        <v>1</v>
      </c>
      <c r="D562" s="33" t="s">
        <v>119</v>
      </c>
    </row>
    <row r="563" spans="1:4" x14ac:dyDescent="0.3">
      <c r="A563" t="s">
        <v>198</v>
      </c>
      <c r="B563" t="s">
        <v>457</v>
      </c>
      <c r="C563" s="34">
        <v>1</v>
      </c>
      <c r="D563" s="33" t="s">
        <v>119</v>
      </c>
    </row>
    <row r="564" spans="1:4" x14ac:dyDescent="0.3">
      <c r="A564" t="s">
        <v>220</v>
      </c>
      <c r="B564" t="s">
        <v>457</v>
      </c>
      <c r="C564" s="34">
        <v>10</v>
      </c>
      <c r="D564" s="33" t="s">
        <v>119</v>
      </c>
    </row>
    <row r="565" spans="1:4" x14ac:dyDescent="0.3">
      <c r="A565" t="s">
        <v>219</v>
      </c>
      <c r="B565" t="s">
        <v>457</v>
      </c>
      <c r="C565" s="34">
        <v>24</v>
      </c>
      <c r="D565" s="33" t="s">
        <v>119</v>
      </c>
    </row>
    <row r="566" spans="1:4" x14ac:dyDescent="0.3">
      <c r="A566" t="s">
        <v>239</v>
      </c>
      <c r="B566" t="s">
        <v>457</v>
      </c>
      <c r="C566" s="34">
        <v>22</v>
      </c>
      <c r="D566" s="33" t="s">
        <v>119</v>
      </c>
    </row>
    <row r="567" spans="1:4" x14ac:dyDescent="0.3">
      <c r="A567" t="s">
        <v>244</v>
      </c>
      <c r="B567" t="s">
        <v>457</v>
      </c>
      <c r="C567" s="34">
        <v>6</v>
      </c>
      <c r="D567" s="33" t="s">
        <v>119</v>
      </c>
    </row>
    <row r="568" spans="1:4" x14ac:dyDescent="0.3">
      <c r="A568" t="s">
        <v>504</v>
      </c>
      <c r="B568" t="s">
        <v>458</v>
      </c>
      <c r="C568" s="34">
        <v>2</v>
      </c>
      <c r="D568" s="33" t="s">
        <v>119</v>
      </c>
    </row>
    <row r="569" spans="1:4" x14ac:dyDescent="0.3">
      <c r="A569" t="s">
        <v>233</v>
      </c>
      <c r="B569" t="s">
        <v>457</v>
      </c>
      <c r="C569" s="34">
        <v>1</v>
      </c>
      <c r="D569" s="33" t="s">
        <v>119</v>
      </c>
    </row>
    <row r="570" spans="1:4" x14ac:dyDescent="0.3">
      <c r="A570" t="s">
        <v>215</v>
      </c>
      <c r="B570" t="s">
        <v>457</v>
      </c>
      <c r="C570" s="34">
        <v>1</v>
      </c>
      <c r="D570" s="33" t="s">
        <v>119</v>
      </c>
    </row>
    <row r="571" spans="1:4" x14ac:dyDescent="0.3">
      <c r="A571" t="s">
        <v>229</v>
      </c>
      <c r="B571" t="s">
        <v>457</v>
      </c>
      <c r="C571" s="34">
        <v>3</v>
      </c>
      <c r="D571" s="33" t="s">
        <v>119</v>
      </c>
    </row>
    <row r="572" spans="1:4" x14ac:dyDescent="0.3">
      <c r="A572" t="s">
        <v>213</v>
      </c>
      <c r="B572" t="s">
        <v>457</v>
      </c>
      <c r="C572" s="34">
        <v>1</v>
      </c>
      <c r="D572" s="33" t="s">
        <v>119</v>
      </c>
    </row>
    <row r="573" spans="1:4" x14ac:dyDescent="0.3">
      <c r="A573" t="s">
        <v>208</v>
      </c>
      <c r="B573" t="s">
        <v>457</v>
      </c>
      <c r="C573" s="34">
        <v>1</v>
      </c>
      <c r="D573" s="33" t="s">
        <v>119</v>
      </c>
    </row>
    <row r="574" spans="1:4" x14ac:dyDescent="0.3">
      <c r="A574" t="s">
        <v>225</v>
      </c>
      <c r="B574" t="s">
        <v>457</v>
      </c>
      <c r="C574" s="34">
        <v>1</v>
      </c>
      <c r="D574" s="33" t="s">
        <v>119</v>
      </c>
    </row>
    <row r="575" spans="1:4" x14ac:dyDescent="0.3">
      <c r="A575" t="s">
        <v>223</v>
      </c>
      <c r="B575" t="s">
        <v>457</v>
      </c>
      <c r="C575" s="34">
        <v>4</v>
      </c>
      <c r="D575" s="33" t="s">
        <v>119</v>
      </c>
    </row>
    <row r="576" spans="1:4" x14ac:dyDescent="0.3">
      <c r="A576" t="s">
        <v>335</v>
      </c>
      <c r="B576" t="s">
        <v>457</v>
      </c>
      <c r="C576" s="34">
        <v>3</v>
      </c>
      <c r="D576" s="33" t="s">
        <v>119</v>
      </c>
    </row>
    <row r="577" spans="1:4" x14ac:dyDescent="0.3">
      <c r="A577" t="s">
        <v>343</v>
      </c>
      <c r="B577" t="s">
        <v>457</v>
      </c>
      <c r="C577" s="34">
        <v>3</v>
      </c>
      <c r="D577" s="33" t="s">
        <v>119</v>
      </c>
    </row>
    <row r="578" spans="1:4" x14ac:dyDescent="0.3">
      <c r="A578" t="s">
        <v>264</v>
      </c>
      <c r="B578" t="s">
        <v>457</v>
      </c>
      <c r="C578" s="34">
        <v>7</v>
      </c>
      <c r="D578" s="33" t="s">
        <v>119</v>
      </c>
    </row>
    <row r="579" spans="1:4" x14ac:dyDescent="0.3">
      <c r="A579" t="s">
        <v>468</v>
      </c>
      <c r="B579" t="s">
        <v>458</v>
      </c>
      <c r="C579" s="34">
        <v>5</v>
      </c>
      <c r="D579" s="33" t="s">
        <v>119</v>
      </c>
    </row>
    <row r="580" spans="1:4" x14ac:dyDescent="0.3">
      <c r="A580" t="s">
        <v>364</v>
      </c>
      <c r="B580" t="s">
        <v>457</v>
      </c>
      <c r="C580" s="34">
        <v>6</v>
      </c>
      <c r="D580" s="33" t="s">
        <v>119</v>
      </c>
    </row>
    <row r="581" spans="1:4" x14ac:dyDescent="0.3">
      <c r="A581" t="s">
        <v>385</v>
      </c>
      <c r="B581" t="s">
        <v>461</v>
      </c>
      <c r="C581" s="34">
        <v>15</v>
      </c>
      <c r="D581" s="33" t="s">
        <v>119</v>
      </c>
    </row>
    <row r="582" spans="1:4" x14ac:dyDescent="0.3">
      <c r="A582" t="s">
        <v>483</v>
      </c>
      <c r="B582" t="s">
        <v>458</v>
      </c>
      <c r="C582" s="34">
        <v>3</v>
      </c>
      <c r="D582" s="33" t="s">
        <v>119</v>
      </c>
    </row>
    <row r="583" spans="1:4" x14ac:dyDescent="0.3">
      <c r="A583" t="s">
        <v>460</v>
      </c>
      <c r="B583" t="s">
        <v>461</v>
      </c>
      <c r="C583" s="34">
        <v>1</v>
      </c>
      <c r="D583" s="33" t="s">
        <v>119</v>
      </c>
    </row>
    <row r="584" spans="1:4" x14ac:dyDescent="0.3">
      <c r="A584" t="s">
        <v>391</v>
      </c>
      <c r="B584" t="s">
        <v>461</v>
      </c>
      <c r="C584" s="34">
        <v>1</v>
      </c>
      <c r="D584" s="33" t="s">
        <v>119</v>
      </c>
    </row>
    <row r="585" spans="1:4" x14ac:dyDescent="0.3">
      <c r="A585" t="s">
        <v>382</v>
      </c>
      <c r="B585" t="s">
        <v>461</v>
      </c>
      <c r="C585" s="34">
        <v>2</v>
      </c>
      <c r="D585" s="33" t="s">
        <v>119</v>
      </c>
    </row>
    <row r="586" spans="1:4" x14ac:dyDescent="0.3">
      <c r="A586" t="s">
        <v>395</v>
      </c>
      <c r="B586" t="s">
        <v>461</v>
      </c>
      <c r="C586" s="34">
        <v>10</v>
      </c>
      <c r="D586" s="33" t="s">
        <v>119</v>
      </c>
    </row>
    <row r="587" spans="1:4" x14ac:dyDescent="0.3">
      <c r="A587" t="s">
        <v>453</v>
      </c>
      <c r="B587" t="s">
        <v>456</v>
      </c>
      <c r="C587" s="34">
        <v>10</v>
      </c>
      <c r="D587" s="33" t="s">
        <v>119</v>
      </c>
    </row>
    <row r="588" spans="1:4" x14ac:dyDescent="0.3">
      <c r="A588" t="s">
        <v>470</v>
      </c>
      <c r="B588" t="s">
        <v>456</v>
      </c>
      <c r="C588" s="34">
        <v>1</v>
      </c>
      <c r="D588" s="33" t="s">
        <v>119</v>
      </c>
    </row>
    <row r="589" spans="1:4" x14ac:dyDescent="0.3">
      <c r="A589" t="s">
        <v>251</v>
      </c>
      <c r="B589" t="s">
        <v>457</v>
      </c>
      <c r="C589" s="34">
        <v>3</v>
      </c>
      <c r="D589" s="33" t="s">
        <v>119</v>
      </c>
    </row>
    <row r="590" spans="1:4" x14ac:dyDescent="0.3">
      <c r="A590" t="s">
        <v>297</v>
      </c>
      <c r="B590" t="s">
        <v>456</v>
      </c>
      <c r="C590" s="34">
        <v>5</v>
      </c>
      <c r="D590" s="33" t="s">
        <v>119</v>
      </c>
    </row>
    <row r="591" spans="1:4" ht="15" thickBot="1" x14ac:dyDescent="0.35">
      <c r="A591" t="s">
        <v>204</v>
      </c>
      <c r="B591" t="s">
        <v>457</v>
      </c>
      <c r="C591" s="34">
        <v>13</v>
      </c>
      <c r="D591" s="33" t="s">
        <v>119</v>
      </c>
    </row>
    <row r="592" spans="1:4" x14ac:dyDescent="0.3">
      <c r="A592" s="25" t="s">
        <v>463</v>
      </c>
      <c r="B592" s="22"/>
      <c r="C592" s="23">
        <f>SUM(C537:C591)</f>
        <v>347</v>
      </c>
      <c r="D592" s="22"/>
    </row>
    <row r="595" spans="1:4" x14ac:dyDescent="0.3">
      <c r="A595" s="32" t="s">
        <v>505</v>
      </c>
      <c r="B595" s="32"/>
      <c r="C595" s="32"/>
      <c r="D595" s="32"/>
    </row>
    <row r="596" spans="1:4" x14ac:dyDescent="0.3">
      <c r="A596" t="s">
        <v>297</v>
      </c>
      <c r="B596" t="s">
        <v>456</v>
      </c>
      <c r="C596" s="34">
        <v>22</v>
      </c>
      <c r="D596" s="33" t="s">
        <v>119</v>
      </c>
    </row>
    <row r="597" spans="1:4" x14ac:dyDescent="0.3">
      <c r="A597" t="s">
        <v>306</v>
      </c>
      <c r="B597" t="s">
        <v>456</v>
      </c>
      <c r="C597" s="34">
        <v>5</v>
      </c>
      <c r="D597" s="33" t="s">
        <v>119</v>
      </c>
    </row>
    <row r="598" spans="1:4" x14ac:dyDescent="0.3">
      <c r="A598" t="s">
        <v>329</v>
      </c>
      <c r="B598" t="s">
        <v>456</v>
      </c>
      <c r="C598" s="34">
        <v>17</v>
      </c>
      <c r="D598" s="33" t="s">
        <v>119</v>
      </c>
    </row>
    <row r="599" spans="1:4" x14ac:dyDescent="0.3">
      <c r="A599" t="s">
        <v>328</v>
      </c>
      <c r="B599" t="s">
        <v>456</v>
      </c>
      <c r="C599" s="34">
        <v>3</v>
      </c>
      <c r="D599" s="33" t="s">
        <v>119</v>
      </c>
    </row>
    <row r="600" spans="1:4" x14ac:dyDescent="0.3">
      <c r="A600" t="s">
        <v>317</v>
      </c>
      <c r="B600" t="s">
        <v>456</v>
      </c>
      <c r="C600" s="34">
        <v>62</v>
      </c>
      <c r="D600" s="33" t="s">
        <v>119</v>
      </c>
    </row>
    <row r="601" spans="1:4" x14ac:dyDescent="0.3">
      <c r="A601" t="s">
        <v>283</v>
      </c>
      <c r="B601" t="s">
        <v>456</v>
      </c>
      <c r="C601" s="34">
        <v>41</v>
      </c>
      <c r="D601" s="33" t="s">
        <v>119</v>
      </c>
    </row>
    <row r="602" spans="1:4" x14ac:dyDescent="0.3">
      <c r="A602" t="s">
        <v>275</v>
      </c>
      <c r="B602" t="s">
        <v>456</v>
      </c>
      <c r="C602" s="34">
        <v>27</v>
      </c>
      <c r="D602" s="33" t="s">
        <v>119</v>
      </c>
    </row>
    <row r="603" spans="1:4" x14ac:dyDescent="0.3">
      <c r="A603" t="s">
        <v>308</v>
      </c>
      <c r="B603" t="s">
        <v>456</v>
      </c>
      <c r="C603" s="34">
        <v>14</v>
      </c>
      <c r="D603" s="33" t="s">
        <v>119</v>
      </c>
    </row>
    <row r="604" spans="1:4" x14ac:dyDescent="0.3">
      <c r="A604" t="s">
        <v>407</v>
      </c>
      <c r="B604" t="s">
        <v>456</v>
      </c>
      <c r="C604" s="34">
        <v>3</v>
      </c>
      <c r="D604" s="33" t="s">
        <v>119</v>
      </c>
    </row>
    <row r="605" spans="1:4" x14ac:dyDescent="0.3">
      <c r="A605" t="s">
        <v>472</v>
      </c>
      <c r="B605" t="s">
        <v>458</v>
      </c>
      <c r="C605" s="34">
        <v>1</v>
      </c>
      <c r="D605" s="33" t="s">
        <v>119</v>
      </c>
    </row>
    <row r="606" spans="1:4" x14ac:dyDescent="0.3">
      <c r="A606" t="s">
        <v>474</v>
      </c>
      <c r="B606" t="s">
        <v>458</v>
      </c>
      <c r="C606" s="34">
        <v>3</v>
      </c>
      <c r="D606" s="33" t="s">
        <v>119</v>
      </c>
    </row>
    <row r="607" spans="1:4" x14ac:dyDescent="0.3">
      <c r="A607" t="s">
        <v>450</v>
      </c>
      <c r="B607" t="s">
        <v>458</v>
      </c>
      <c r="C607" s="34">
        <v>11</v>
      </c>
      <c r="D607" s="33" t="s">
        <v>119</v>
      </c>
    </row>
    <row r="608" spans="1:4" x14ac:dyDescent="0.3">
      <c r="A608" t="s">
        <v>487</v>
      </c>
      <c r="B608" t="s">
        <v>458</v>
      </c>
      <c r="C608" s="34">
        <v>1</v>
      </c>
      <c r="D608" s="33" t="s">
        <v>119</v>
      </c>
    </row>
    <row r="609" spans="1:4" x14ac:dyDescent="0.3">
      <c r="A609" t="s">
        <v>482</v>
      </c>
      <c r="B609" t="s">
        <v>458</v>
      </c>
      <c r="C609" s="34">
        <v>1</v>
      </c>
      <c r="D609" s="33" t="s">
        <v>119</v>
      </c>
    </row>
    <row r="610" spans="1:4" x14ac:dyDescent="0.3">
      <c r="A610" t="s">
        <v>229</v>
      </c>
      <c r="B610" t="s">
        <v>457</v>
      </c>
      <c r="C610" s="34">
        <v>1</v>
      </c>
      <c r="D610" s="33" t="s">
        <v>119</v>
      </c>
    </row>
    <row r="611" spans="1:4" x14ac:dyDescent="0.3">
      <c r="A611" t="s">
        <v>134</v>
      </c>
      <c r="B611" t="s">
        <v>457</v>
      </c>
      <c r="C611" s="34">
        <v>22</v>
      </c>
      <c r="D611" s="33" t="s">
        <v>119</v>
      </c>
    </row>
    <row r="612" spans="1:4" x14ac:dyDescent="0.3">
      <c r="A612" t="s">
        <v>139</v>
      </c>
      <c r="B612" t="s">
        <v>457</v>
      </c>
      <c r="C612" s="34">
        <v>37</v>
      </c>
      <c r="D612" s="33" t="s">
        <v>119</v>
      </c>
    </row>
    <row r="613" spans="1:4" x14ac:dyDescent="0.3">
      <c r="A613" t="s">
        <v>466</v>
      </c>
      <c r="B613" t="s">
        <v>458</v>
      </c>
      <c r="C613" s="34">
        <v>1</v>
      </c>
      <c r="D613" s="33" t="s">
        <v>119</v>
      </c>
    </row>
    <row r="614" spans="1:4" x14ac:dyDescent="0.3">
      <c r="A614" t="s">
        <v>137</v>
      </c>
      <c r="B614" t="s">
        <v>457</v>
      </c>
      <c r="C614" s="34">
        <v>23</v>
      </c>
      <c r="D614" s="33" t="s">
        <v>119</v>
      </c>
    </row>
    <row r="615" spans="1:4" x14ac:dyDescent="0.3">
      <c r="A615" t="s">
        <v>160</v>
      </c>
      <c r="B615" t="s">
        <v>457</v>
      </c>
      <c r="C615" s="34">
        <v>1</v>
      </c>
      <c r="D615" s="33" t="s">
        <v>119</v>
      </c>
    </row>
    <row r="616" spans="1:4" x14ac:dyDescent="0.3">
      <c r="A616" t="s">
        <v>174</v>
      </c>
      <c r="B616" t="s">
        <v>457</v>
      </c>
      <c r="C616" s="34">
        <v>9</v>
      </c>
      <c r="D616" s="33" t="s">
        <v>119</v>
      </c>
    </row>
    <row r="617" spans="1:4" x14ac:dyDescent="0.3">
      <c r="A617" t="s">
        <v>204</v>
      </c>
      <c r="B617" t="s">
        <v>457</v>
      </c>
      <c r="C617" s="34">
        <v>11</v>
      </c>
      <c r="D617" s="33" t="s">
        <v>119</v>
      </c>
    </row>
    <row r="618" spans="1:4" x14ac:dyDescent="0.3">
      <c r="A618" t="s">
        <v>197</v>
      </c>
      <c r="B618" t="s">
        <v>457</v>
      </c>
      <c r="C618" s="34">
        <v>1</v>
      </c>
      <c r="D618" s="33" t="s">
        <v>119</v>
      </c>
    </row>
    <row r="619" spans="1:4" x14ac:dyDescent="0.3">
      <c r="A619" t="s">
        <v>223</v>
      </c>
      <c r="B619" t="s">
        <v>457</v>
      </c>
      <c r="C619" s="34">
        <v>2</v>
      </c>
      <c r="D619" s="33" t="s">
        <v>119</v>
      </c>
    </row>
    <row r="620" spans="1:4" x14ac:dyDescent="0.3">
      <c r="A620" t="s">
        <v>239</v>
      </c>
      <c r="B620" t="s">
        <v>457</v>
      </c>
      <c r="C620" s="34">
        <v>2</v>
      </c>
      <c r="D620" s="33" t="s">
        <v>119</v>
      </c>
    </row>
    <row r="621" spans="1:4" x14ac:dyDescent="0.3">
      <c r="A621" t="s">
        <v>220</v>
      </c>
      <c r="B621" t="s">
        <v>457</v>
      </c>
      <c r="C621" s="34">
        <v>1</v>
      </c>
      <c r="D621" s="33" t="s">
        <v>119</v>
      </c>
    </row>
    <row r="622" spans="1:4" x14ac:dyDescent="0.3">
      <c r="A622" t="s">
        <v>219</v>
      </c>
      <c r="B622" t="s">
        <v>457</v>
      </c>
      <c r="C622" s="34">
        <v>10</v>
      </c>
      <c r="D622" s="33" t="s">
        <v>119</v>
      </c>
    </row>
    <row r="623" spans="1:4" x14ac:dyDescent="0.3">
      <c r="A623" t="s">
        <v>364</v>
      </c>
      <c r="B623" t="s">
        <v>457</v>
      </c>
      <c r="C623" s="34">
        <v>7</v>
      </c>
      <c r="D623" s="33" t="s">
        <v>119</v>
      </c>
    </row>
    <row r="624" spans="1:4" x14ac:dyDescent="0.3">
      <c r="A624" t="s">
        <v>468</v>
      </c>
      <c r="B624" t="s">
        <v>458</v>
      </c>
      <c r="C624" s="34">
        <v>1</v>
      </c>
      <c r="D624" s="33" t="s">
        <v>119</v>
      </c>
    </row>
    <row r="625" spans="1:4" x14ac:dyDescent="0.3">
      <c r="A625" t="s">
        <v>335</v>
      </c>
      <c r="B625" t="s">
        <v>457</v>
      </c>
      <c r="C625" s="34">
        <v>3</v>
      </c>
      <c r="D625" s="33" t="s">
        <v>119</v>
      </c>
    </row>
    <row r="626" spans="1:4" x14ac:dyDescent="0.3">
      <c r="A626" t="s">
        <v>385</v>
      </c>
      <c r="B626" t="s">
        <v>461</v>
      </c>
      <c r="C626" s="34">
        <v>1</v>
      </c>
      <c r="D626" s="33" t="s">
        <v>119</v>
      </c>
    </row>
    <row r="627" spans="1:4" x14ac:dyDescent="0.3">
      <c r="A627" t="s">
        <v>391</v>
      </c>
      <c r="B627" t="s">
        <v>461</v>
      </c>
      <c r="C627" s="34">
        <v>1</v>
      </c>
      <c r="D627" s="33" t="s">
        <v>119</v>
      </c>
    </row>
    <row r="628" spans="1:4" x14ac:dyDescent="0.3">
      <c r="A628" t="s">
        <v>382</v>
      </c>
      <c r="B628" t="s">
        <v>461</v>
      </c>
      <c r="C628" s="34">
        <v>1</v>
      </c>
      <c r="D628" s="33" t="s">
        <v>119</v>
      </c>
    </row>
    <row r="629" spans="1:4" x14ac:dyDescent="0.3">
      <c r="A629" t="s">
        <v>395</v>
      </c>
      <c r="B629" t="s">
        <v>461</v>
      </c>
      <c r="C629" s="34">
        <v>5</v>
      </c>
      <c r="D629" s="33" t="s">
        <v>119</v>
      </c>
    </row>
    <row r="630" spans="1:4" x14ac:dyDescent="0.3">
      <c r="A630" t="s">
        <v>453</v>
      </c>
      <c r="B630" t="s">
        <v>456</v>
      </c>
      <c r="C630" s="34">
        <v>3</v>
      </c>
      <c r="D630" s="33" t="s">
        <v>119</v>
      </c>
    </row>
    <row r="631" spans="1:4" x14ac:dyDescent="0.3">
      <c r="A631" t="s">
        <v>264</v>
      </c>
      <c r="B631" t="s">
        <v>457</v>
      </c>
      <c r="C631" s="34">
        <v>1</v>
      </c>
      <c r="D631" s="33" t="s">
        <v>119</v>
      </c>
    </row>
    <row r="632" spans="1:4" x14ac:dyDescent="0.3">
      <c r="A632" t="s">
        <v>430</v>
      </c>
      <c r="B632" t="s">
        <v>456</v>
      </c>
      <c r="C632" s="34">
        <v>1</v>
      </c>
      <c r="D632" s="33" t="s">
        <v>119</v>
      </c>
    </row>
    <row r="633" spans="1:4" ht="15" thickBot="1" x14ac:dyDescent="0.35">
      <c r="A633" t="s">
        <v>435</v>
      </c>
      <c r="B633" t="s">
        <v>456</v>
      </c>
      <c r="C633" s="34">
        <v>1</v>
      </c>
      <c r="D633" s="33" t="s">
        <v>119</v>
      </c>
    </row>
    <row r="634" spans="1:4" x14ac:dyDescent="0.3">
      <c r="A634" s="25" t="s">
        <v>463</v>
      </c>
      <c r="B634" s="22"/>
      <c r="C634" s="23">
        <f>SUM(C596:C633)</f>
        <v>357</v>
      </c>
      <c r="D634" s="22"/>
    </row>
    <row r="638" spans="1:4" x14ac:dyDescent="0.3">
      <c r="A638" s="32" t="s">
        <v>510</v>
      </c>
      <c r="B638" s="32"/>
      <c r="C638" s="32"/>
      <c r="D638" s="32"/>
    </row>
    <row r="639" spans="1:4" x14ac:dyDescent="0.3">
      <c r="A639" t="s">
        <v>137</v>
      </c>
      <c r="B639" t="s">
        <v>457</v>
      </c>
      <c r="C639" s="34">
        <v>34</v>
      </c>
      <c r="D639" s="33" t="s">
        <v>119</v>
      </c>
    </row>
    <row r="640" spans="1:4" x14ac:dyDescent="0.3">
      <c r="A640" t="s">
        <v>139</v>
      </c>
      <c r="B640" t="s">
        <v>457</v>
      </c>
      <c r="C640" s="34">
        <v>37</v>
      </c>
      <c r="D640" s="33" t="s">
        <v>119</v>
      </c>
    </row>
    <row r="641" spans="1:4" x14ac:dyDescent="0.3">
      <c r="A641" t="s">
        <v>141</v>
      </c>
      <c r="B641" t="s">
        <v>457</v>
      </c>
      <c r="C641" s="34">
        <v>2</v>
      </c>
      <c r="D641" s="33" t="s">
        <v>119</v>
      </c>
    </row>
    <row r="642" spans="1:4" x14ac:dyDescent="0.3">
      <c r="A642" t="s">
        <v>134</v>
      </c>
      <c r="B642" t="s">
        <v>457</v>
      </c>
      <c r="C642" s="34">
        <v>4</v>
      </c>
      <c r="D642" s="33" t="s">
        <v>119</v>
      </c>
    </row>
    <row r="643" spans="1:4" x14ac:dyDescent="0.3">
      <c r="A643" t="s">
        <v>158</v>
      </c>
      <c r="B643" t="s">
        <v>457</v>
      </c>
      <c r="C643" s="34">
        <v>94</v>
      </c>
      <c r="D643" s="33" t="s">
        <v>119</v>
      </c>
    </row>
    <row r="644" spans="1:4" x14ac:dyDescent="0.3">
      <c r="A644" t="s">
        <v>160</v>
      </c>
      <c r="B644" t="s">
        <v>457</v>
      </c>
      <c r="C644" s="34">
        <v>32</v>
      </c>
      <c r="D644" s="33" t="s">
        <v>119</v>
      </c>
    </row>
    <row r="645" spans="1:4" x14ac:dyDescent="0.3">
      <c r="A645" t="s">
        <v>171</v>
      </c>
      <c r="B645" t="s">
        <v>457</v>
      </c>
      <c r="C645" s="34">
        <v>1</v>
      </c>
      <c r="D645" s="33" t="s">
        <v>119</v>
      </c>
    </row>
    <row r="646" spans="1:4" x14ac:dyDescent="0.3">
      <c r="A646" t="s">
        <v>149</v>
      </c>
      <c r="B646" t="s">
        <v>457</v>
      </c>
      <c r="C646" s="34">
        <v>12</v>
      </c>
      <c r="D646" s="33" t="s">
        <v>119</v>
      </c>
    </row>
    <row r="647" spans="1:4" x14ac:dyDescent="0.3">
      <c r="A647" t="s">
        <v>476</v>
      </c>
      <c r="B647" t="s">
        <v>458</v>
      </c>
      <c r="C647" s="34">
        <v>1</v>
      </c>
      <c r="D647" s="33" t="s">
        <v>119</v>
      </c>
    </row>
    <row r="648" spans="1:4" x14ac:dyDescent="0.3">
      <c r="A648" t="s">
        <v>229</v>
      </c>
      <c r="B648" t="s">
        <v>457</v>
      </c>
      <c r="C648" s="34">
        <v>6</v>
      </c>
      <c r="D648" s="33" t="s">
        <v>119</v>
      </c>
    </row>
    <row r="649" spans="1:4" x14ac:dyDescent="0.3">
      <c r="A649" t="s">
        <v>231</v>
      </c>
      <c r="B649" t="s">
        <v>457</v>
      </c>
      <c r="C649" s="34">
        <v>2</v>
      </c>
      <c r="D649" s="33" t="s">
        <v>119</v>
      </c>
    </row>
    <row r="650" spans="1:4" x14ac:dyDescent="0.3">
      <c r="A650" t="s">
        <v>454</v>
      </c>
      <c r="B650" t="s">
        <v>458</v>
      </c>
      <c r="C650" s="34">
        <v>2</v>
      </c>
      <c r="D650" s="33" t="s">
        <v>119</v>
      </c>
    </row>
    <row r="651" spans="1:4" x14ac:dyDescent="0.3">
      <c r="A651" t="s">
        <v>352</v>
      </c>
      <c r="B651" t="s">
        <v>457</v>
      </c>
      <c r="C651" s="34">
        <v>1</v>
      </c>
      <c r="D651" s="33" t="s">
        <v>119</v>
      </c>
    </row>
    <row r="652" spans="1:4" x14ac:dyDescent="0.3">
      <c r="A652" t="s">
        <v>258</v>
      </c>
      <c r="B652" t="s">
        <v>457</v>
      </c>
      <c r="C652" s="34">
        <v>3</v>
      </c>
      <c r="D652" s="33" t="s">
        <v>119</v>
      </c>
    </row>
    <row r="653" spans="1:4" x14ac:dyDescent="0.3">
      <c r="A653" t="s">
        <v>335</v>
      </c>
      <c r="B653" t="s">
        <v>457</v>
      </c>
      <c r="C653" s="34">
        <v>5</v>
      </c>
      <c r="D653" s="33" t="s">
        <v>119</v>
      </c>
    </row>
    <row r="654" spans="1:4" x14ac:dyDescent="0.3">
      <c r="A654" t="s">
        <v>332</v>
      </c>
      <c r="B654" t="s">
        <v>457</v>
      </c>
      <c r="C654" s="34">
        <v>1</v>
      </c>
      <c r="D654" s="33" t="s">
        <v>119</v>
      </c>
    </row>
    <row r="655" spans="1:4" x14ac:dyDescent="0.3">
      <c r="A655" t="s">
        <v>364</v>
      </c>
      <c r="B655" t="s">
        <v>457</v>
      </c>
      <c r="C655" s="34">
        <v>3</v>
      </c>
      <c r="D655" s="33" t="s">
        <v>119</v>
      </c>
    </row>
    <row r="656" spans="1:4" x14ac:dyDescent="0.3">
      <c r="A656" t="s">
        <v>468</v>
      </c>
      <c r="B656" t="s">
        <v>458</v>
      </c>
      <c r="C656" s="34">
        <v>1</v>
      </c>
      <c r="D656" s="33" t="s">
        <v>119</v>
      </c>
    </row>
    <row r="657" spans="1:4" x14ac:dyDescent="0.3">
      <c r="A657" t="s">
        <v>395</v>
      </c>
      <c r="B657" t="s">
        <v>461</v>
      </c>
      <c r="C657" s="34">
        <v>12</v>
      </c>
      <c r="D657" s="33" t="s">
        <v>119</v>
      </c>
    </row>
    <row r="658" spans="1:4" x14ac:dyDescent="0.3">
      <c r="A658" t="s">
        <v>385</v>
      </c>
      <c r="B658" t="s">
        <v>461</v>
      </c>
      <c r="C658" s="34">
        <v>3</v>
      </c>
      <c r="D658" s="33" t="s">
        <v>119</v>
      </c>
    </row>
    <row r="659" spans="1:4" x14ac:dyDescent="0.3">
      <c r="A659" t="s">
        <v>511</v>
      </c>
      <c r="B659" t="s">
        <v>456</v>
      </c>
      <c r="C659" s="34">
        <v>1</v>
      </c>
      <c r="D659" s="33" t="s">
        <v>119</v>
      </c>
    </row>
    <row r="660" spans="1:4" x14ac:dyDescent="0.3">
      <c r="A660" t="s">
        <v>435</v>
      </c>
      <c r="B660" t="s">
        <v>456</v>
      </c>
      <c r="C660" s="34">
        <v>2</v>
      </c>
      <c r="D660" s="33" t="s">
        <v>119</v>
      </c>
    </row>
    <row r="661" spans="1:4" x14ac:dyDescent="0.3">
      <c r="A661" t="s">
        <v>462</v>
      </c>
      <c r="B661" t="s">
        <v>456</v>
      </c>
      <c r="C661" s="34">
        <v>4</v>
      </c>
      <c r="D661" s="33" t="s">
        <v>119</v>
      </c>
    </row>
    <row r="662" spans="1:4" x14ac:dyDescent="0.3">
      <c r="A662" t="s">
        <v>277</v>
      </c>
      <c r="B662" t="s">
        <v>456</v>
      </c>
      <c r="C662" s="34">
        <v>1</v>
      </c>
      <c r="D662" s="33" t="s">
        <v>119</v>
      </c>
    </row>
    <row r="663" spans="1:4" x14ac:dyDescent="0.3">
      <c r="A663" t="s">
        <v>269</v>
      </c>
      <c r="B663" t="s">
        <v>456</v>
      </c>
      <c r="C663" s="34">
        <v>11</v>
      </c>
      <c r="D663" s="33" t="s">
        <v>119</v>
      </c>
    </row>
    <row r="664" spans="1:4" x14ac:dyDescent="0.3">
      <c r="A664" t="s">
        <v>325</v>
      </c>
      <c r="B664" t="s">
        <v>456</v>
      </c>
      <c r="C664" s="34">
        <v>2</v>
      </c>
      <c r="D664" s="33" t="s">
        <v>119</v>
      </c>
    </row>
    <row r="665" spans="1:4" x14ac:dyDescent="0.3">
      <c r="A665" t="s">
        <v>283</v>
      </c>
      <c r="B665" t="s">
        <v>456</v>
      </c>
      <c r="C665" s="34">
        <v>1</v>
      </c>
      <c r="D665" s="33" t="s">
        <v>119</v>
      </c>
    </row>
    <row r="666" spans="1:4" x14ac:dyDescent="0.3">
      <c r="A666" t="s">
        <v>280</v>
      </c>
      <c r="B666" t="s">
        <v>456</v>
      </c>
      <c r="C666" s="34">
        <v>13</v>
      </c>
      <c r="D666" s="33" t="s">
        <v>119</v>
      </c>
    </row>
    <row r="667" spans="1:4" x14ac:dyDescent="0.3">
      <c r="A667" t="s">
        <v>284</v>
      </c>
      <c r="B667" t="s">
        <v>456</v>
      </c>
      <c r="C667" s="34">
        <v>26</v>
      </c>
      <c r="D667" s="33" t="s">
        <v>119</v>
      </c>
    </row>
    <row r="668" spans="1:4" x14ac:dyDescent="0.3">
      <c r="A668" t="s">
        <v>292</v>
      </c>
      <c r="B668" t="s">
        <v>456</v>
      </c>
      <c r="C668" s="34">
        <v>1</v>
      </c>
      <c r="D668" s="33" t="s">
        <v>119</v>
      </c>
    </row>
    <row r="669" spans="1:4" x14ac:dyDescent="0.3">
      <c r="A669" t="s">
        <v>311</v>
      </c>
      <c r="B669" t="s">
        <v>456</v>
      </c>
      <c r="C669" s="34">
        <v>7</v>
      </c>
      <c r="D669" s="33" t="s">
        <v>119</v>
      </c>
    </row>
    <row r="670" spans="1:4" x14ac:dyDescent="0.3">
      <c r="A670" t="s">
        <v>317</v>
      </c>
      <c r="B670" t="s">
        <v>456</v>
      </c>
      <c r="C670" s="34">
        <v>5</v>
      </c>
      <c r="D670" s="33" t="s">
        <v>119</v>
      </c>
    </row>
    <row r="671" spans="1:4" x14ac:dyDescent="0.3">
      <c r="A671" t="s">
        <v>310</v>
      </c>
      <c r="B671" t="s">
        <v>456</v>
      </c>
      <c r="C671" s="34">
        <v>6</v>
      </c>
      <c r="D671" s="33" t="s">
        <v>119</v>
      </c>
    </row>
    <row r="672" spans="1:4" x14ac:dyDescent="0.3">
      <c r="A672" t="s">
        <v>309</v>
      </c>
      <c r="B672" t="s">
        <v>456</v>
      </c>
      <c r="C672" s="34">
        <v>2</v>
      </c>
      <c r="D672" s="33" t="s">
        <v>119</v>
      </c>
    </row>
    <row r="673" spans="1:4" ht="15" thickBot="1" x14ac:dyDescent="0.35">
      <c r="A673" t="s">
        <v>450</v>
      </c>
      <c r="B673" t="s">
        <v>458</v>
      </c>
      <c r="C673" s="34">
        <v>1</v>
      </c>
      <c r="D673" s="33" t="s">
        <v>119</v>
      </c>
    </row>
    <row r="674" spans="1:4" x14ac:dyDescent="0.3">
      <c r="A674" s="25" t="s">
        <v>463</v>
      </c>
      <c r="B674" s="22"/>
      <c r="C674" s="23">
        <f>SUM(C639:C673)</f>
        <v>339</v>
      </c>
      <c r="D674" s="22"/>
    </row>
    <row r="676" spans="1:4" x14ac:dyDescent="0.3">
      <c r="A676" s="32" t="s">
        <v>512</v>
      </c>
      <c r="B676" s="32"/>
      <c r="C676" s="32"/>
      <c r="D676" s="32"/>
    </row>
    <row r="677" spans="1:4" x14ac:dyDescent="0.3">
      <c r="A677" t="s">
        <v>316</v>
      </c>
      <c r="B677" t="s">
        <v>456</v>
      </c>
      <c r="C677" s="34">
        <v>1</v>
      </c>
      <c r="D677" s="33" t="s">
        <v>119</v>
      </c>
    </row>
    <row r="678" spans="1:4" x14ac:dyDescent="0.3">
      <c r="A678" t="s">
        <v>329</v>
      </c>
      <c r="B678" t="s">
        <v>456</v>
      </c>
      <c r="C678" s="34">
        <v>1</v>
      </c>
      <c r="D678" s="33" t="s">
        <v>119</v>
      </c>
    </row>
    <row r="679" spans="1:4" x14ac:dyDescent="0.3">
      <c r="A679" t="s">
        <v>317</v>
      </c>
      <c r="B679" t="s">
        <v>456</v>
      </c>
      <c r="C679" s="34">
        <v>6</v>
      </c>
      <c r="D679" s="33" t="s">
        <v>119</v>
      </c>
    </row>
    <row r="680" spans="1:4" x14ac:dyDescent="0.3">
      <c r="A680" t="s">
        <v>269</v>
      </c>
      <c r="B680" t="s">
        <v>456</v>
      </c>
      <c r="C680" s="34">
        <v>9</v>
      </c>
      <c r="D680" s="33" t="s">
        <v>119</v>
      </c>
    </row>
    <row r="681" spans="1:4" x14ac:dyDescent="0.3">
      <c r="A681" t="s">
        <v>301</v>
      </c>
      <c r="B681" t="s">
        <v>456</v>
      </c>
      <c r="C681" s="34">
        <v>2</v>
      </c>
      <c r="D681" s="33" t="s">
        <v>119</v>
      </c>
    </row>
    <row r="682" spans="1:4" x14ac:dyDescent="0.3">
      <c r="A682" t="s">
        <v>275</v>
      </c>
      <c r="B682" t="s">
        <v>456</v>
      </c>
      <c r="C682" s="34">
        <v>8</v>
      </c>
      <c r="D682" s="33" t="s">
        <v>119</v>
      </c>
    </row>
    <row r="683" spans="1:4" x14ac:dyDescent="0.3">
      <c r="A683" t="s">
        <v>474</v>
      </c>
      <c r="B683" t="s">
        <v>458</v>
      </c>
      <c r="C683" s="34">
        <v>2</v>
      </c>
      <c r="D683" s="33" t="s">
        <v>119</v>
      </c>
    </row>
    <row r="684" spans="1:4" x14ac:dyDescent="0.3">
      <c r="A684" t="s">
        <v>451</v>
      </c>
      <c r="B684" t="s">
        <v>458</v>
      </c>
      <c r="C684" s="34">
        <v>3</v>
      </c>
      <c r="D684" s="33" t="s">
        <v>119</v>
      </c>
    </row>
    <row r="685" spans="1:4" x14ac:dyDescent="0.3">
      <c r="A685" t="s">
        <v>174</v>
      </c>
      <c r="B685" t="s">
        <v>457</v>
      </c>
      <c r="C685" s="34">
        <v>3</v>
      </c>
      <c r="D685" s="33" t="s">
        <v>119</v>
      </c>
    </row>
    <row r="686" spans="1:4" x14ac:dyDescent="0.3">
      <c r="A686" t="s">
        <v>137</v>
      </c>
      <c r="B686" t="s">
        <v>457</v>
      </c>
      <c r="C686" s="34">
        <v>1</v>
      </c>
      <c r="D686" s="33" t="s">
        <v>119</v>
      </c>
    </row>
    <row r="687" spans="1:4" x14ac:dyDescent="0.3">
      <c r="A687" t="s">
        <v>139</v>
      </c>
      <c r="B687" t="s">
        <v>457</v>
      </c>
      <c r="C687" s="34">
        <v>1</v>
      </c>
      <c r="D687" s="33" t="s">
        <v>119</v>
      </c>
    </row>
    <row r="688" spans="1:4" x14ac:dyDescent="0.3">
      <c r="A688" t="s">
        <v>132</v>
      </c>
      <c r="B688" t="s">
        <v>457</v>
      </c>
      <c r="C688" s="34">
        <v>1</v>
      </c>
      <c r="D688" s="33" t="s">
        <v>119</v>
      </c>
    </row>
    <row r="689" spans="1:4" x14ac:dyDescent="0.3">
      <c r="A689" t="s">
        <v>134</v>
      </c>
      <c r="B689" t="s">
        <v>457</v>
      </c>
      <c r="C689" s="34">
        <v>1</v>
      </c>
      <c r="D689" s="33" t="s">
        <v>119</v>
      </c>
    </row>
    <row r="690" spans="1:4" x14ac:dyDescent="0.3">
      <c r="A690" t="s">
        <v>169</v>
      </c>
      <c r="B690" t="s">
        <v>457</v>
      </c>
      <c r="C690" s="34">
        <v>1</v>
      </c>
      <c r="D690" s="33" t="s">
        <v>119</v>
      </c>
    </row>
    <row r="691" spans="1:4" x14ac:dyDescent="0.3">
      <c r="A691" t="s">
        <v>258</v>
      </c>
      <c r="B691" t="s">
        <v>457</v>
      </c>
      <c r="C691" s="34">
        <v>1</v>
      </c>
      <c r="D691" s="33" t="s">
        <v>119</v>
      </c>
    </row>
    <row r="692" spans="1:4" x14ac:dyDescent="0.3">
      <c r="A692" t="s">
        <v>343</v>
      </c>
      <c r="B692" t="s">
        <v>457</v>
      </c>
      <c r="C692" s="34">
        <v>3</v>
      </c>
      <c r="D692" s="33" t="s">
        <v>119</v>
      </c>
    </row>
    <row r="693" spans="1:4" x14ac:dyDescent="0.3">
      <c r="A693" t="s">
        <v>335</v>
      </c>
      <c r="B693" t="s">
        <v>457</v>
      </c>
      <c r="C693" s="34">
        <v>2</v>
      </c>
      <c r="D693" s="33" t="s">
        <v>119</v>
      </c>
    </row>
    <row r="694" spans="1:4" x14ac:dyDescent="0.3">
      <c r="A694" t="s">
        <v>334</v>
      </c>
      <c r="B694" t="s">
        <v>457</v>
      </c>
      <c r="C694" s="34">
        <v>1</v>
      </c>
      <c r="D694" s="33" t="s">
        <v>119</v>
      </c>
    </row>
    <row r="695" spans="1:4" x14ac:dyDescent="0.3">
      <c r="A695" t="s">
        <v>364</v>
      </c>
      <c r="B695" t="s">
        <v>457</v>
      </c>
      <c r="C695" s="34">
        <v>3</v>
      </c>
      <c r="D695" s="33" t="s">
        <v>119</v>
      </c>
    </row>
    <row r="696" spans="1:4" x14ac:dyDescent="0.3">
      <c r="A696" t="s">
        <v>468</v>
      </c>
      <c r="B696" t="s">
        <v>458</v>
      </c>
      <c r="C696" s="34">
        <v>3</v>
      </c>
      <c r="D696" s="33" t="s">
        <v>119</v>
      </c>
    </row>
    <row r="697" spans="1:4" x14ac:dyDescent="0.3">
      <c r="A697" t="s">
        <v>402</v>
      </c>
      <c r="B697" t="s">
        <v>456</v>
      </c>
      <c r="C697" s="34">
        <v>2</v>
      </c>
      <c r="D697" s="33" t="s">
        <v>119</v>
      </c>
    </row>
    <row r="698" spans="1:4" x14ac:dyDescent="0.3">
      <c r="A698" t="s">
        <v>453</v>
      </c>
      <c r="B698" t="s">
        <v>456</v>
      </c>
      <c r="C698" s="34">
        <v>31</v>
      </c>
      <c r="D698" s="33" t="s">
        <v>119</v>
      </c>
    </row>
    <row r="699" spans="1:4" x14ac:dyDescent="0.3">
      <c r="A699" t="s">
        <v>407</v>
      </c>
      <c r="B699" t="s">
        <v>456</v>
      </c>
      <c r="C699" s="34">
        <v>1</v>
      </c>
      <c r="D699" s="33" t="s">
        <v>119</v>
      </c>
    </row>
    <row r="700" spans="1:4" x14ac:dyDescent="0.3">
      <c r="A700" t="s">
        <v>220</v>
      </c>
      <c r="B700" t="s">
        <v>457</v>
      </c>
      <c r="C700" s="34">
        <v>1</v>
      </c>
      <c r="D700" s="33" t="s">
        <v>119</v>
      </c>
    </row>
    <row r="701" spans="1:4" x14ac:dyDescent="0.3">
      <c r="A701" t="s">
        <v>233</v>
      </c>
      <c r="B701" t="s">
        <v>457</v>
      </c>
      <c r="C701" s="34">
        <v>1</v>
      </c>
      <c r="D701" s="33" t="s">
        <v>119</v>
      </c>
    </row>
    <row r="702" spans="1:4" x14ac:dyDescent="0.3">
      <c r="A702" t="s">
        <v>395</v>
      </c>
      <c r="B702" t="s">
        <v>461</v>
      </c>
      <c r="C702" s="34">
        <v>2</v>
      </c>
      <c r="D702" s="33" t="s">
        <v>119</v>
      </c>
    </row>
    <row r="703" spans="1:4" x14ac:dyDescent="0.3">
      <c r="A703" t="s">
        <v>382</v>
      </c>
      <c r="B703" t="s">
        <v>461</v>
      </c>
      <c r="C703" s="34">
        <v>1</v>
      </c>
      <c r="D703" s="33" t="s">
        <v>119</v>
      </c>
    </row>
    <row r="704" spans="1:4" x14ac:dyDescent="0.3">
      <c r="A704" t="s">
        <v>430</v>
      </c>
      <c r="B704" t="s">
        <v>456</v>
      </c>
      <c r="C704" s="34">
        <v>20</v>
      </c>
      <c r="D704" s="33" t="s">
        <v>119</v>
      </c>
    </row>
    <row r="705" spans="1:4" ht="15" thickBot="1" x14ac:dyDescent="0.35">
      <c r="A705" t="s">
        <v>452</v>
      </c>
      <c r="B705" t="s">
        <v>456</v>
      </c>
      <c r="C705" s="34">
        <v>144</v>
      </c>
      <c r="D705" s="33" t="s">
        <v>119</v>
      </c>
    </row>
    <row r="706" spans="1:4" x14ac:dyDescent="0.3">
      <c r="A706" s="25" t="s">
        <v>463</v>
      </c>
      <c r="B706" s="22"/>
      <c r="C706" s="23">
        <f>SUM(C677:C705)</f>
        <v>256</v>
      </c>
      <c r="D706" s="22"/>
    </row>
    <row r="708" spans="1:4" x14ac:dyDescent="0.3">
      <c r="A708" s="32" t="s">
        <v>513</v>
      </c>
      <c r="B708" s="32"/>
      <c r="C708" s="32"/>
      <c r="D708" s="32"/>
    </row>
    <row r="709" spans="1:4" x14ac:dyDescent="0.3">
      <c r="A709" t="s">
        <v>169</v>
      </c>
      <c r="B709" t="s">
        <v>457</v>
      </c>
      <c r="C709" s="34">
        <v>5</v>
      </c>
      <c r="D709" s="33" t="s">
        <v>119</v>
      </c>
    </row>
    <row r="710" spans="1:4" x14ac:dyDescent="0.3">
      <c r="A710" t="s">
        <v>174</v>
      </c>
      <c r="B710" t="s">
        <v>457</v>
      </c>
      <c r="C710" s="34">
        <v>12</v>
      </c>
      <c r="D710" s="33" t="s">
        <v>119</v>
      </c>
    </row>
    <row r="711" spans="1:4" x14ac:dyDescent="0.3">
      <c r="A711" t="s">
        <v>158</v>
      </c>
      <c r="B711" t="s">
        <v>457</v>
      </c>
      <c r="C711" s="34">
        <v>29</v>
      </c>
      <c r="D711" s="33" t="s">
        <v>119</v>
      </c>
    </row>
    <row r="712" spans="1:4" x14ac:dyDescent="0.3">
      <c r="A712" t="s">
        <v>172</v>
      </c>
      <c r="B712" t="s">
        <v>457</v>
      </c>
      <c r="C712" s="34">
        <v>1</v>
      </c>
      <c r="D712" s="33" t="s">
        <v>119</v>
      </c>
    </row>
    <row r="713" spans="1:4" x14ac:dyDescent="0.3">
      <c r="A713" t="s">
        <v>160</v>
      </c>
      <c r="B713" t="s">
        <v>457</v>
      </c>
      <c r="C713" s="34">
        <v>25</v>
      </c>
      <c r="D713" s="33" t="s">
        <v>119</v>
      </c>
    </row>
    <row r="714" spans="1:4" x14ac:dyDescent="0.3">
      <c r="A714" t="s">
        <v>450</v>
      </c>
      <c r="B714" t="s">
        <v>458</v>
      </c>
      <c r="C714" s="34">
        <v>6</v>
      </c>
      <c r="D714" s="33" t="s">
        <v>119</v>
      </c>
    </row>
    <row r="715" spans="1:4" x14ac:dyDescent="0.3">
      <c r="A715" t="s">
        <v>451</v>
      </c>
      <c r="B715" t="s">
        <v>458</v>
      </c>
      <c r="C715" s="34">
        <v>5</v>
      </c>
      <c r="D715" s="33" t="s">
        <v>119</v>
      </c>
    </row>
    <row r="716" spans="1:4" x14ac:dyDescent="0.3">
      <c r="A716" t="s">
        <v>137</v>
      </c>
      <c r="B716" t="s">
        <v>457</v>
      </c>
      <c r="C716" s="34">
        <v>63</v>
      </c>
      <c r="D716" s="33" t="s">
        <v>119</v>
      </c>
    </row>
    <row r="717" spans="1:4" x14ac:dyDescent="0.3">
      <c r="A717" t="s">
        <v>139</v>
      </c>
      <c r="B717" t="s">
        <v>457</v>
      </c>
      <c r="C717" s="34">
        <v>33</v>
      </c>
      <c r="D717" s="33" t="s">
        <v>119</v>
      </c>
    </row>
    <row r="718" spans="1:4" x14ac:dyDescent="0.3">
      <c r="A718" t="s">
        <v>487</v>
      </c>
      <c r="B718" t="s">
        <v>458</v>
      </c>
      <c r="C718" s="34">
        <v>1</v>
      </c>
      <c r="D718" s="33" t="s">
        <v>119</v>
      </c>
    </row>
    <row r="719" spans="1:4" x14ac:dyDescent="0.3">
      <c r="A719" t="s">
        <v>506</v>
      </c>
      <c r="B719" t="s">
        <v>458</v>
      </c>
      <c r="C719" s="34">
        <v>1</v>
      </c>
      <c r="D719" s="33" t="s">
        <v>119</v>
      </c>
    </row>
    <row r="720" spans="1:4" x14ac:dyDescent="0.3">
      <c r="A720" t="s">
        <v>204</v>
      </c>
      <c r="B720" t="s">
        <v>457</v>
      </c>
      <c r="C720" s="34">
        <v>1</v>
      </c>
      <c r="D720" s="33" t="s">
        <v>119</v>
      </c>
    </row>
    <row r="721" spans="1:4" x14ac:dyDescent="0.3">
      <c r="A721" t="s">
        <v>223</v>
      </c>
      <c r="B721" t="s">
        <v>457</v>
      </c>
      <c r="C721" s="34">
        <v>2</v>
      </c>
      <c r="D721" s="33" t="s">
        <v>119</v>
      </c>
    </row>
    <row r="722" spans="1:4" x14ac:dyDescent="0.3">
      <c r="A722" t="s">
        <v>209</v>
      </c>
      <c r="B722" t="s">
        <v>457</v>
      </c>
      <c r="C722" s="34">
        <v>1</v>
      </c>
      <c r="D722" s="33" t="s">
        <v>119</v>
      </c>
    </row>
    <row r="723" spans="1:4" x14ac:dyDescent="0.3">
      <c r="A723" t="s">
        <v>454</v>
      </c>
      <c r="B723" t="s">
        <v>458</v>
      </c>
      <c r="C723" s="34">
        <v>2</v>
      </c>
      <c r="D723" s="33" t="s">
        <v>119</v>
      </c>
    </row>
    <row r="724" spans="1:4" x14ac:dyDescent="0.3">
      <c r="A724" t="s">
        <v>258</v>
      </c>
      <c r="B724" t="s">
        <v>457</v>
      </c>
      <c r="C724" s="34">
        <v>2</v>
      </c>
      <c r="D724" s="33" t="s">
        <v>119</v>
      </c>
    </row>
    <row r="725" spans="1:4" x14ac:dyDescent="0.3">
      <c r="A725" t="s">
        <v>479</v>
      </c>
      <c r="B725" t="s">
        <v>480</v>
      </c>
      <c r="C725" s="34">
        <v>1</v>
      </c>
      <c r="D725" s="33" t="s">
        <v>119</v>
      </c>
    </row>
    <row r="726" spans="1:4" x14ac:dyDescent="0.3">
      <c r="A726" t="s">
        <v>343</v>
      </c>
      <c r="B726" t="s">
        <v>457</v>
      </c>
      <c r="C726" s="34">
        <v>1</v>
      </c>
      <c r="D726" s="33" t="s">
        <v>119</v>
      </c>
    </row>
    <row r="727" spans="1:4" x14ac:dyDescent="0.3">
      <c r="A727" t="s">
        <v>335</v>
      </c>
      <c r="B727" t="s">
        <v>457</v>
      </c>
      <c r="C727" s="34">
        <v>7</v>
      </c>
      <c r="D727" s="33" t="s">
        <v>119</v>
      </c>
    </row>
    <row r="728" spans="1:4" x14ac:dyDescent="0.3">
      <c r="A728" t="s">
        <v>264</v>
      </c>
      <c r="B728" t="s">
        <v>457</v>
      </c>
      <c r="C728" s="34">
        <v>2</v>
      </c>
      <c r="D728" s="33" t="s">
        <v>119</v>
      </c>
    </row>
    <row r="729" spans="1:4" x14ac:dyDescent="0.3">
      <c r="A729" t="s">
        <v>491</v>
      </c>
      <c r="B729" t="s">
        <v>458</v>
      </c>
      <c r="C729" s="34">
        <v>1</v>
      </c>
      <c r="D729" s="33" t="s">
        <v>119</v>
      </c>
    </row>
    <row r="730" spans="1:4" x14ac:dyDescent="0.3">
      <c r="A730" t="s">
        <v>469</v>
      </c>
      <c r="B730" t="s">
        <v>456</v>
      </c>
      <c r="C730" s="34">
        <v>1</v>
      </c>
      <c r="D730" s="33" t="s">
        <v>119</v>
      </c>
    </row>
    <row r="731" spans="1:4" x14ac:dyDescent="0.3">
      <c r="A731" t="s">
        <v>460</v>
      </c>
      <c r="B731" t="s">
        <v>461</v>
      </c>
      <c r="C731" s="34">
        <v>2</v>
      </c>
      <c r="D731" s="33" t="s">
        <v>119</v>
      </c>
    </row>
    <row r="732" spans="1:4" x14ac:dyDescent="0.3">
      <c r="A732" t="s">
        <v>395</v>
      </c>
      <c r="B732" t="s">
        <v>461</v>
      </c>
      <c r="C732" s="34">
        <v>1</v>
      </c>
      <c r="D732" s="33" t="s">
        <v>119</v>
      </c>
    </row>
    <row r="733" spans="1:4" x14ac:dyDescent="0.3">
      <c r="A733" t="s">
        <v>452</v>
      </c>
      <c r="B733" t="s">
        <v>456</v>
      </c>
      <c r="C733" s="34">
        <v>64</v>
      </c>
      <c r="D733" s="33" t="s">
        <v>119</v>
      </c>
    </row>
    <row r="734" spans="1:4" x14ac:dyDescent="0.3">
      <c r="A734" t="s">
        <v>435</v>
      </c>
      <c r="B734" t="s">
        <v>456</v>
      </c>
      <c r="C734" s="34">
        <v>1</v>
      </c>
      <c r="D734" s="33" t="s">
        <v>119</v>
      </c>
    </row>
    <row r="735" spans="1:4" x14ac:dyDescent="0.3">
      <c r="A735" t="s">
        <v>473</v>
      </c>
      <c r="B735" t="s">
        <v>456</v>
      </c>
      <c r="C735" s="34">
        <v>10</v>
      </c>
      <c r="D735" s="33" t="s">
        <v>119</v>
      </c>
    </row>
    <row r="736" spans="1:4" x14ac:dyDescent="0.3">
      <c r="A736" t="s">
        <v>261</v>
      </c>
      <c r="B736" t="s">
        <v>456</v>
      </c>
      <c r="C736" s="34">
        <v>1</v>
      </c>
      <c r="D736" s="33" t="s">
        <v>119</v>
      </c>
    </row>
    <row r="737" spans="1:4" ht="15" thickBot="1" x14ac:dyDescent="0.35">
      <c r="A737" t="s">
        <v>455</v>
      </c>
      <c r="B737" t="s">
        <v>456</v>
      </c>
      <c r="C737" s="34">
        <v>1</v>
      </c>
      <c r="D737" s="33" t="s">
        <v>119</v>
      </c>
    </row>
    <row r="738" spans="1:4" x14ac:dyDescent="0.3">
      <c r="A738" s="25" t="s">
        <v>463</v>
      </c>
      <c r="B738" s="22"/>
      <c r="C738" s="23">
        <f>SUM(C709:C737)</f>
        <v>282</v>
      </c>
      <c r="D738" s="22"/>
    </row>
    <row r="741" spans="1:4" x14ac:dyDescent="0.3">
      <c r="A741" s="32" t="s">
        <v>516</v>
      </c>
      <c r="B741" s="32"/>
      <c r="C741" s="32"/>
      <c r="D741" s="32"/>
    </row>
    <row r="742" spans="1:4" x14ac:dyDescent="0.3">
      <c r="A742" t="s">
        <v>258</v>
      </c>
      <c r="B742" t="s">
        <v>457</v>
      </c>
      <c r="C742" s="34">
        <v>10</v>
      </c>
      <c r="D742" s="33" t="s">
        <v>119</v>
      </c>
    </row>
    <row r="743" spans="1:4" x14ac:dyDescent="0.3">
      <c r="A743" t="s">
        <v>138</v>
      </c>
      <c r="B743" t="s">
        <v>457</v>
      </c>
      <c r="C743" s="34">
        <v>73</v>
      </c>
      <c r="D743" s="33" t="s">
        <v>119</v>
      </c>
    </row>
    <row r="744" spans="1:4" x14ac:dyDescent="0.3">
      <c r="A744" t="s">
        <v>208</v>
      </c>
      <c r="B744" t="s">
        <v>457</v>
      </c>
      <c r="C744" s="34">
        <v>1</v>
      </c>
      <c r="D744" s="33" t="s">
        <v>119</v>
      </c>
    </row>
    <row r="745" spans="1:4" x14ac:dyDescent="0.3">
      <c r="A745" t="s">
        <v>296</v>
      </c>
      <c r="B745" t="s">
        <v>457</v>
      </c>
      <c r="C745" s="34">
        <v>1</v>
      </c>
      <c r="D745" s="33" t="s">
        <v>119</v>
      </c>
    </row>
    <row r="746" spans="1:4" x14ac:dyDescent="0.3">
      <c r="A746" t="s">
        <v>269</v>
      </c>
      <c r="B746" t="s">
        <v>457</v>
      </c>
      <c r="C746" s="34">
        <v>1</v>
      </c>
      <c r="D746" s="33" t="s">
        <v>119</v>
      </c>
    </row>
    <row r="747" spans="1:4" x14ac:dyDescent="0.3">
      <c r="A747" t="s">
        <v>155</v>
      </c>
      <c r="B747" t="s">
        <v>457</v>
      </c>
      <c r="C747" s="34">
        <v>1</v>
      </c>
      <c r="D747" s="33" t="s">
        <v>119</v>
      </c>
    </row>
    <row r="748" spans="1:4" x14ac:dyDescent="0.3">
      <c r="A748" t="s">
        <v>159</v>
      </c>
      <c r="B748" t="s">
        <v>457</v>
      </c>
      <c r="C748" s="34">
        <v>7</v>
      </c>
      <c r="D748" s="33" t="s">
        <v>119</v>
      </c>
    </row>
    <row r="749" spans="1:4" x14ac:dyDescent="0.3">
      <c r="A749" t="s">
        <v>407</v>
      </c>
      <c r="B749" t="s">
        <v>456</v>
      </c>
      <c r="C749" s="34">
        <v>1</v>
      </c>
      <c r="D749" s="33" t="s">
        <v>119</v>
      </c>
    </row>
    <row r="750" spans="1:4" x14ac:dyDescent="0.3">
      <c r="A750" t="s">
        <v>409</v>
      </c>
      <c r="B750" t="s">
        <v>456</v>
      </c>
      <c r="C750" s="34">
        <v>7</v>
      </c>
      <c r="D750" s="33" t="s">
        <v>119</v>
      </c>
    </row>
    <row r="751" spans="1:4" x14ac:dyDescent="0.3">
      <c r="A751" t="s">
        <v>335</v>
      </c>
      <c r="B751" t="s">
        <v>457</v>
      </c>
      <c r="C751" s="34">
        <v>1</v>
      </c>
      <c r="D751" s="33" t="s">
        <v>119</v>
      </c>
    </row>
    <row r="752" spans="1:4" x14ac:dyDescent="0.3">
      <c r="A752" t="s">
        <v>169</v>
      </c>
      <c r="B752" t="s">
        <v>457</v>
      </c>
      <c r="C752" s="34">
        <v>5</v>
      </c>
      <c r="D752" s="33" t="s">
        <v>119</v>
      </c>
    </row>
    <row r="753" spans="1:4" x14ac:dyDescent="0.3">
      <c r="A753" t="s">
        <v>220</v>
      </c>
      <c r="B753" t="s">
        <v>457</v>
      </c>
      <c r="C753" s="34">
        <v>10</v>
      </c>
      <c r="D753" s="33" t="s">
        <v>119</v>
      </c>
    </row>
    <row r="754" spans="1:4" x14ac:dyDescent="0.3">
      <c r="A754" t="s">
        <v>327</v>
      </c>
      <c r="B754" t="s">
        <v>457</v>
      </c>
      <c r="C754" s="34">
        <v>1</v>
      </c>
      <c r="D754" s="33" t="s">
        <v>119</v>
      </c>
    </row>
    <row r="755" spans="1:4" x14ac:dyDescent="0.3">
      <c r="A755" t="s">
        <v>385</v>
      </c>
      <c r="B755" t="s">
        <v>461</v>
      </c>
      <c r="C755" s="34">
        <v>2</v>
      </c>
      <c r="D755" s="33" t="s">
        <v>119</v>
      </c>
    </row>
    <row r="756" spans="1:4" x14ac:dyDescent="0.3">
      <c r="A756" t="s">
        <v>229</v>
      </c>
      <c r="B756" t="s">
        <v>457</v>
      </c>
      <c r="C756" s="34">
        <v>11</v>
      </c>
      <c r="D756" s="33" t="s">
        <v>119</v>
      </c>
    </row>
    <row r="757" spans="1:4" x14ac:dyDescent="0.3">
      <c r="A757" t="s">
        <v>306</v>
      </c>
      <c r="B757" t="s">
        <v>457</v>
      </c>
      <c r="C757" s="34">
        <v>4</v>
      </c>
      <c r="D757" s="33" t="s">
        <v>119</v>
      </c>
    </row>
    <row r="758" spans="1:4" x14ac:dyDescent="0.3">
      <c r="A758" t="s">
        <v>210</v>
      </c>
      <c r="B758" t="s">
        <v>457</v>
      </c>
      <c r="C758" s="34">
        <v>5</v>
      </c>
      <c r="D758" s="33" t="s">
        <v>119</v>
      </c>
    </row>
    <row r="759" spans="1:4" x14ac:dyDescent="0.3">
      <c r="A759" t="s">
        <v>283</v>
      </c>
      <c r="B759" t="s">
        <v>457</v>
      </c>
      <c r="C759" s="34">
        <v>11</v>
      </c>
      <c r="D759" s="33" t="s">
        <v>119</v>
      </c>
    </row>
    <row r="760" spans="1:4" x14ac:dyDescent="0.3">
      <c r="A760" t="s">
        <v>471</v>
      </c>
      <c r="B760" t="s">
        <v>456</v>
      </c>
      <c r="C760" s="34">
        <v>5</v>
      </c>
      <c r="D760" s="33" t="s">
        <v>119</v>
      </c>
    </row>
    <row r="761" spans="1:4" x14ac:dyDescent="0.3">
      <c r="A761" t="s">
        <v>435</v>
      </c>
      <c r="B761" t="s">
        <v>456</v>
      </c>
      <c r="C761" s="34">
        <v>3</v>
      </c>
      <c r="D761" s="33" t="s">
        <v>119</v>
      </c>
    </row>
    <row r="762" spans="1:4" x14ac:dyDescent="0.3">
      <c r="A762" t="s">
        <v>233</v>
      </c>
      <c r="B762" t="s">
        <v>457</v>
      </c>
      <c r="C762" s="34">
        <v>3</v>
      </c>
      <c r="D762" s="33" t="s">
        <v>119</v>
      </c>
    </row>
    <row r="763" spans="1:4" x14ac:dyDescent="0.3">
      <c r="A763" t="s">
        <v>364</v>
      </c>
      <c r="B763" t="s">
        <v>457</v>
      </c>
      <c r="C763" s="34">
        <v>2</v>
      </c>
      <c r="D763" s="33" t="s">
        <v>119</v>
      </c>
    </row>
    <row r="764" spans="1:4" x14ac:dyDescent="0.3">
      <c r="A764" t="s">
        <v>460</v>
      </c>
      <c r="B764" t="s">
        <v>461</v>
      </c>
      <c r="C764" s="34">
        <v>1</v>
      </c>
      <c r="D764" s="33" t="s">
        <v>119</v>
      </c>
    </row>
    <row r="765" spans="1:4" x14ac:dyDescent="0.3">
      <c r="A765" t="s">
        <v>308</v>
      </c>
      <c r="B765" t="s">
        <v>457</v>
      </c>
      <c r="C765" s="34">
        <v>2</v>
      </c>
      <c r="D765" s="33" t="s">
        <v>119</v>
      </c>
    </row>
    <row r="766" spans="1:4" x14ac:dyDescent="0.3">
      <c r="A766" t="s">
        <v>275</v>
      </c>
      <c r="B766" t="s">
        <v>457</v>
      </c>
      <c r="C766" s="34">
        <v>1</v>
      </c>
      <c r="D766" s="33" t="s">
        <v>119</v>
      </c>
    </row>
    <row r="767" spans="1:4" x14ac:dyDescent="0.3">
      <c r="A767" t="s">
        <v>293</v>
      </c>
      <c r="B767" t="s">
        <v>457</v>
      </c>
      <c r="C767" s="34">
        <v>3</v>
      </c>
      <c r="D767" s="33" t="s">
        <v>517</v>
      </c>
    </row>
    <row r="768" spans="1:4" x14ac:dyDescent="0.3">
      <c r="A768" t="s">
        <v>244</v>
      </c>
      <c r="B768" t="s">
        <v>457</v>
      </c>
      <c r="C768" s="34">
        <v>1</v>
      </c>
      <c r="D768" s="33" t="s">
        <v>119</v>
      </c>
    </row>
    <row r="769" spans="1:4" x14ac:dyDescent="0.3">
      <c r="A769" t="s">
        <v>201</v>
      </c>
      <c r="B769" t="s">
        <v>457</v>
      </c>
      <c r="C769" s="34">
        <v>1</v>
      </c>
      <c r="D769" s="33" t="s">
        <v>119</v>
      </c>
    </row>
    <row r="770" spans="1:4" x14ac:dyDescent="0.3">
      <c r="A770" t="s">
        <v>313</v>
      </c>
      <c r="B770" t="s">
        <v>457</v>
      </c>
      <c r="C770" s="34">
        <v>2</v>
      </c>
      <c r="D770" s="33" t="s">
        <v>119</v>
      </c>
    </row>
    <row r="771" spans="1:4" x14ac:dyDescent="0.3">
      <c r="A771" t="s">
        <v>284</v>
      </c>
      <c r="B771" t="s">
        <v>457</v>
      </c>
      <c r="C771" s="34">
        <v>1</v>
      </c>
      <c r="D771" s="33" t="s">
        <v>119</v>
      </c>
    </row>
    <row r="772" spans="1:4" x14ac:dyDescent="0.3">
      <c r="A772" t="s">
        <v>172</v>
      </c>
      <c r="B772" t="s">
        <v>457</v>
      </c>
      <c r="C772" s="34">
        <v>1</v>
      </c>
      <c r="D772" s="33" t="s">
        <v>119</v>
      </c>
    </row>
    <row r="773" spans="1:4" x14ac:dyDescent="0.3">
      <c r="A773" t="s">
        <v>391</v>
      </c>
      <c r="B773" t="s">
        <v>461</v>
      </c>
      <c r="C773" s="34">
        <v>1</v>
      </c>
      <c r="D773" s="33" t="s">
        <v>119</v>
      </c>
    </row>
    <row r="774" spans="1:4" x14ac:dyDescent="0.3">
      <c r="A774" t="s">
        <v>453</v>
      </c>
      <c r="B774" t="s">
        <v>456</v>
      </c>
      <c r="C774" s="34">
        <v>10</v>
      </c>
      <c r="D774" s="33" t="s">
        <v>119</v>
      </c>
    </row>
    <row r="775" spans="1:4" x14ac:dyDescent="0.3">
      <c r="A775" t="s">
        <v>411</v>
      </c>
      <c r="B775" t="s">
        <v>456</v>
      </c>
      <c r="C775" s="34">
        <v>1</v>
      </c>
      <c r="D775" s="33" t="s">
        <v>119</v>
      </c>
    </row>
    <row r="776" spans="1:4" x14ac:dyDescent="0.3">
      <c r="A776" t="s">
        <v>285</v>
      </c>
      <c r="B776" t="s">
        <v>457</v>
      </c>
      <c r="C776" s="34">
        <v>1</v>
      </c>
      <c r="D776" s="33" t="s">
        <v>119</v>
      </c>
    </row>
    <row r="777" spans="1:4" x14ac:dyDescent="0.3">
      <c r="A777" t="s">
        <v>286</v>
      </c>
      <c r="B777" t="s">
        <v>457</v>
      </c>
      <c r="C777" s="34">
        <v>14</v>
      </c>
      <c r="D777" s="33" t="s">
        <v>119</v>
      </c>
    </row>
    <row r="778" spans="1:4" x14ac:dyDescent="0.3">
      <c r="A778" t="s">
        <v>455</v>
      </c>
      <c r="B778" t="s">
        <v>457</v>
      </c>
      <c r="C778" s="34">
        <v>2</v>
      </c>
      <c r="D778" s="33" t="s">
        <v>518</v>
      </c>
    </row>
    <row r="779" spans="1:4" x14ac:dyDescent="0.3">
      <c r="A779" t="s">
        <v>395</v>
      </c>
      <c r="B779" t="s">
        <v>461</v>
      </c>
      <c r="C779" s="34">
        <v>14</v>
      </c>
      <c r="D779" s="33" t="s">
        <v>119</v>
      </c>
    </row>
    <row r="780" spans="1:4" x14ac:dyDescent="0.3">
      <c r="A780" t="s">
        <v>452</v>
      </c>
      <c r="B780" t="s">
        <v>456</v>
      </c>
      <c r="C780" s="34">
        <v>96</v>
      </c>
      <c r="D780" s="33" t="s">
        <v>514</v>
      </c>
    </row>
    <row r="781" spans="1:4" x14ac:dyDescent="0.3">
      <c r="A781" t="s">
        <v>490</v>
      </c>
      <c r="B781" t="s">
        <v>457</v>
      </c>
      <c r="C781" s="34">
        <v>9</v>
      </c>
      <c r="D781" s="33" t="s">
        <v>519</v>
      </c>
    </row>
    <row r="782" spans="1:4" ht="15" thickBot="1" x14ac:dyDescent="0.35">
      <c r="A782" t="s">
        <v>487</v>
      </c>
      <c r="B782" t="s">
        <v>458</v>
      </c>
      <c r="C782" s="34">
        <v>10</v>
      </c>
      <c r="D782" s="33" t="s">
        <v>119</v>
      </c>
    </row>
    <row r="783" spans="1:4" x14ac:dyDescent="0.3">
      <c r="A783" s="25" t="s">
        <v>463</v>
      </c>
      <c r="B783" s="22"/>
      <c r="C783" s="23">
        <f>SUM(C742:C782)</f>
        <v>336</v>
      </c>
      <c r="D783" s="22"/>
    </row>
    <row r="785" spans="1:4" x14ac:dyDescent="0.3">
      <c r="A785" s="32" t="s">
        <v>520</v>
      </c>
      <c r="B785" s="32"/>
      <c r="C785" s="32"/>
      <c r="D785" s="32"/>
    </row>
    <row r="786" spans="1:4" x14ac:dyDescent="0.3">
      <c r="A786" t="s">
        <v>450</v>
      </c>
      <c r="B786" t="s">
        <v>458</v>
      </c>
      <c r="C786" s="34">
        <v>8</v>
      </c>
      <c r="D786" s="33" t="s">
        <v>119</v>
      </c>
    </row>
    <row r="787" spans="1:4" x14ac:dyDescent="0.3">
      <c r="A787" t="s">
        <v>130</v>
      </c>
      <c r="B787" t="s">
        <v>457</v>
      </c>
      <c r="C787" s="34">
        <v>5</v>
      </c>
      <c r="D787" s="33" t="s">
        <v>119</v>
      </c>
    </row>
    <row r="788" spans="1:4" x14ac:dyDescent="0.3">
      <c r="A788" t="s">
        <v>133</v>
      </c>
      <c r="B788" t="s">
        <v>457</v>
      </c>
      <c r="C788" s="34">
        <v>15</v>
      </c>
      <c r="D788" s="33" t="s">
        <v>119</v>
      </c>
    </row>
    <row r="789" spans="1:4" x14ac:dyDescent="0.3">
      <c r="A789" t="s">
        <v>218</v>
      </c>
      <c r="B789" t="s">
        <v>457</v>
      </c>
      <c r="C789" s="34">
        <v>2</v>
      </c>
      <c r="D789" s="33" t="s">
        <v>119</v>
      </c>
    </row>
    <row r="790" spans="1:4" x14ac:dyDescent="0.3">
      <c r="A790" t="s">
        <v>258</v>
      </c>
      <c r="B790" t="s">
        <v>457</v>
      </c>
      <c r="C790" s="34">
        <v>15</v>
      </c>
      <c r="D790" s="33" t="s">
        <v>119</v>
      </c>
    </row>
    <row r="791" spans="1:4" x14ac:dyDescent="0.3">
      <c r="A791" t="s">
        <v>382</v>
      </c>
      <c r="B791" t="s">
        <v>461</v>
      </c>
      <c r="C791" s="34">
        <v>2</v>
      </c>
      <c r="D791" s="33" t="s">
        <v>119</v>
      </c>
    </row>
    <row r="792" spans="1:4" x14ac:dyDescent="0.3">
      <c r="A792" t="s">
        <v>136</v>
      </c>
      <c r="B792" t="s">
        <v>457</v>
      </c>
      <c r="C792" s="34">
        <v>1</v>
      </c>
      <c r="D792" s="33" t="s">
        <v>119</v>
      </c>
    </row>
    <row r="793" spans="1:4" x14ac:dyDescent="0.3">
      <c r="A793" t="s">
        <v>138</v>
      </c>
      <c r="B793" t="s">
        <v>457</v>
      </c>
      <c r="C793" s="34">
        <v>113</v>
      </c>
      <c r="D793" s="33" t="s">
        <v>119</v>
      </c>
    </row>
    <row r="794" spans="1:4" x14ac:dyDescent="0.3">
      <c r="A794" t="s">
        <v>208</v>
      </c>
      <c r="B794" t="s">
        <v>457</v>
      </c>
      <c r="C794" s="34">
        <v>2</v>
      </c>
      <c r="D794" s="33" t="s">
        <v>119</v>
      </c>
    </row>
    <row r="795" spans="1:4" x14ac:dyDescent="0.3">
      <c r="A795" t="s">
        <v>300</v>
      </c>
      <c r="B795" t="s">
        <v>457</v>
      </c>
      <c r="C795" s="34">
        <v>1</v>
      </c>
      <c r="D795" s="33" t="s">
        <v>521</v>
      </c>
    </row>
    <row r="796" spans="1:4" x14ac:dyDescent="0.3">
      <c r="A796" t="s">
        <v>299</v>
      </c>
      <c r="B796" t="s">
        <v>457</v>
      </c>
      <c r="C796" s="34">
        <v>1</v>
      </c>
      <c r="D796" s="33" t="s">
        <v>119</v>
      </c>
    </row>
    <row r="797" spans="1:4" x14ac:dyDescent="0.3">
      <c r="A797" t="s">
        <v>157</v>
      </c>
      <c r="B797" t="s">
        <v>457</v>
      </c>
      <c r="C797" s="34">
        <v>1</v>
      </c>
      <c r="D797" s="33" t="s">
        <v>119</v>
      </c>
    </row>
    <row r="798" spans="1:4" x14ac:dyDescent="0.3">
      <c r="A798" t="s">
        <v>430</v>
      </c>
      <c r="B798" t="s">
        <v>456</v>
      </c>
      <c r="C798" s="34">
        <v>1</v>
      </c>
      <c r="D798" s="33" t="s">
        <v>119</v>
      </c>
    </row>
    <row r="799" spans="1:4" x14ac:dyDescent="0.3">
      <c r="A799" t="s">
        <v>159</v>
      </c>
      <c r="B799" t="s">
        <v>457</v>
      </c>
      <c r="C799" s="34">
        <v>4</v>
      </c>
      <c r="D799" s="33" t="s">
        <v>119</v>
      </c>
    </row>
    <row r="800" spans="1:4" x14ac:dyDescent="0.3">
      <c r="A800" t="s">
        <v>302</v>
      </c>
      <c r="B800" t="s">
        <v>457</v>
      </c>
      <c r="C800" s="34">
        <v>4</v>
      </c>
      <c r="D800" s="33" t="s">
        <v>522</v>
      </c>
    </row>
    <row r="801" spans="1:4" x14ac:dyDescent="0.3">
      <c r="A801" t="s">
        <v>468</v>
      </c>
      <c r="B801" t="s">
        <v>458</v>
      </c>
      <c r="C801" s="34">
        <v>7</v>
      </c>
      <c r="D801" s="33" t="s">
        <v>119</v>
      </c>
    </row>
    <row r="802" spans="1:4" x14ac:dyDescent="0.3">
      <c r="A802" t="s">
        <v>220</v>
      </c>
      <c r="B802" t="s">
        <v>457</v>
      </c>
      <c r="C802" s="34">
        <v>3</v>
      </c>
      <c r="D802" s="33" t="s">
        <v>119</v>
      </c>
    </row>
    <row r="803" spans="1:4" x14ac:dyDescent="0.3">
      <c r="A803" t="s">
        <v>454</v>
      </c>
      <c r="B803" t="s">
        <v>458</v>
      </c>
      <c r="C803" s="34">
        <v>1</v>
      </c>
      <c r="D803" s="33" t="s">
        <v>119</v>
      </c>
    </row>
    <row r="804" spans="1:4" x14ac:dyDescent="0.3">
      <c r="A804" t="s">
        <v>304</v>
      </c>
      <c r="B804" t="s">
        <v>457</v>
      </c>
      <c r="C804" s="34">
        <v>1</v>
      </c>
      <c r="D804" s="33" t="s">
        <v>119</v>
      </c>
    </row>
    <row r="805" spans="1:4" x14ac:dyDescent="0.3">
      <c r="A805" t="s">
        <v>229</v>
      </c>
      <c r="B805" t="s">
        <v>457</v>
      </c>
      <c r="C805" s="34">
        <v>1</v>
      </c>
      <c r="D805" s="33" t="s">
        <v>119</v>
      </c>
    </row>
    <row r="806" spans="1:4" x14ac:dyDescent="0.3">
      <c r="A806" t="s">
        <v>507</v>
      </c>
      <c r="B806" t="s">
        <v>458</v>
      </c>
      <c r="C806" s="34">
        <v>3</v>
      </c>
      <c r="D806" s="33" t="s">
        <v>119</v>
      </c>
    </row>
    <row r="807" spans="1:4" x14ac:dyDescent="0.3">
      <c r="A807" t="s">
        <v>283</v>
      </c>
      <c r="B807" t="s">
        <v>457</v>
      </c>
      <c r="C807" s="34">
        <v>9</v>
      </c>
      <c r="D807" s="33" t="s">
        <v>119</v>
      </c>
    </row>
    <row r="808" spans="1:4" x14ac:dyDescent="0.3">
      <c r="A808" t="s">
        <v>435</v>
      </c>
      <c r="B808" t="s">
        <v>456</v>
      </c>
      <c r="C808" s="34">
        <v>1</v>
      </c>
      <c r="D808" s="33" t="s">
        <v>119</v>
      </c>
    </row>
    <row r="809" spans="1:4" x14ac:dyDescent="0.3">
      <c r="A809" t="s">
        <v>455</v>
      </c>
      <c r="B809" t="s">
        <v>457</v>
      </c>
      <c r="C809" s="34">
        <v>1</v>
      </c>
      <c r="D809" s="33" t="s">
        <v>523</v>
      </c>
    </row>
    <row r="810" spans="1:4" x14ac:dyDescent="0.3">
      <c r="A810" t="s">
        <v>364</v>
      </c>
      <c r="B810" t="s">
        <v>457</v>
      </c>
      <c r="C810" s="34">
        <v>4</v>
      </c>
      <c r="D810" s="33" t="s">
        <v>119</v>
      </c>
    </row>
    <row r="811" spans="1:4" x14ac:dyDescent="0.3">
      <c r="A811" t="s">
        <v>460</v>
      </c>
      <c r="B811" t="s">
        <v>461</v>
      </c>
      <c r="C811" s="34">
        <v>1</v>
      </c>
      <c r="D811" s="33" t="s">
        <v>119</v>
      </c>
    </row>
    <row r="812" spans="1:4" x14ac:dyDescent="0.3">
      <c r="A812" t="s">
        <v>308</v>
      </c>
      <c r="B812" t="s">
        <v>457</v>
      </c>
      <c r="C812" s="34">
        <v>10</v>
      </c>
      <c r="D812" s="33" t="s">
        <v>119</v>
      </c>
    </row>
    <row r="813" spans="1:4" x14ac:dyDescent="0.3">
      <c r="A813" t="s">
        <v>310</v>
      </c>
      <c r="B813" t="s">
        <v>457</v>
      </c>
      <c r="C813" s="34">
        <v>1</v>
      </c>
      <c r="D813" s="33" t="s">
        <v>119</v>
      </c>
    </row>
    <row r="814" spans="1:4" x14ac:dyDescent="0.3">
      <c r="A814" t="s">
        <v>311</v>
      </c>
      <c r="B814" t="s">
        <v>457</v>
      </c>
      <c r="C814" s="34">
        <v>4</v>
      </c>
      <c r="D814" s="33" t="s">
        <v>119</v>
      </c>
    </row>
    <row r="815" spans="1:4" x14ac:dyDescent="0.3">
      <c r="A815" t="s">
        <v>464</v>
      </c>
      <c r="B815" t="s">
        <v>458</v>
      </c>
      <c r="C815" s="34">
        <v>1</v>
      </c>
      <c r="D815" s="33" t="s">
        <v>119</v>
      </c>
    </row>
    <row r="816" spans="1:4" x14ac:dyDescent="0.3">
      <c r="A816" t="s">
        <v>275</v>
      </c>
      <c r="B816" t="s">
        <v>457</v>
      </c>
      <c r="C816" s="34">
        <v>6</v>
      </c>
      <c r="D816" s="33" t="s">
        <v>119</v>
      </c>
    </row>
    <row r="817" spans="1:4" x14ac:dyDescent="0.3">
      <c r="A817" t="s">
        <v>293</v>
      </c>
      <c r="B817" t="s">
        <v>457</v>
      </c>
      <c r="C817" s="34">
        <v>1</v>
      </c>
      <c r="D817" s="33" t="s">
        <v>524</v>
      </c>
    </row>
    <row r="818" spans="1:4" x14ac:dyDescent="0.3">
      <c r="A818" t="s">
        <v>244</v>
      </c>
      <c r="B818" t="s">
        <v>457</v>
      </c>
      <c r="C818" s="34">
        <v>1</v>
      </c>
      <c r="D818" s="33" t="s">
        <v>119</v>
      </c>
    </row>
    <row r="819" spans="1:4" x14ac:dyDescent="0.3">
      <c r="A819" t="s">
        <v>343</v>
      </c>
      <c r="B819" t="s">
        <v>457</v>
      </c>
      <c r="C819" s="34">
        <v>1</v>
      </c>
      <c r="D819" s="33" t="s">
        <v>119</v>
      </c>
    </row>
    <row r="820" spans="1:4" x14ac:dyDescent="0.3">
      <c r="A820" t="s">
        <v>198</v>
      </c>
      <c r="B820" t="s">
        <v>457</v>
      </c>
      <c r="C820" s="34">
        <v>1</v>
      </c>
      <c r="D820" s="33" t="s">
        <v>119</v>
      </c>
    </row>
    <row r="821" spans="1:4" x14ac:dyDescent="0.3">
      <c r="A821" t="s">
        <v>391</v>
      </c>
      <c r="B821" t="s">
        <v>461</v>
      </c>
      <c r="C821" s="34">
        <v>23</v>
      </c>
      <c r="D821" s="33" t="s">
        <v>119</v>
      </c>
    </row>
    <row r="822" spans="1:4" x14ac:dyDescent="0.3">
      <c r="A822" t="s">
        <v>453</v>
      </c>
      <c r="B822" t="s">
        <v>456</v>
      </c>
      <c r="C822" s="34">
        <v>7</v>
      </c>
      <c r="D822" s="33" t="s">
        <v>119</v>
      </c>
    </row>
    <row r="823" spans="1:4" x14ac:dyDescent="0.3">
      <c r="A823" t="s">
        <v>286</v>
      </c>
      <c r="B823" t="s">
        <v>457</v>
      </c>
      <c r="C823" s="34">
        <v>6</v>
      </c>
      <c r="D823" s="33" t="s">
        <v>119</v>
      </c>
    </row>
    <row r="824" spans="1:4" x14ac:dyDescent="0.3">
      <c r="A824" t="s">
        <v>394</v>
      </c>
      <c r="B824" t="s">
        <v>461</v>
      </c>
      <c r="C824" s="34">
        <v>1</v>
      </c>
      <c r="D824" s="33" t="s">
        <v>119</v>
      </c>
    </row>
    <row r="825" spans="1:4" x14ac:dyDescent="0.3">
      <c r="A825" t="s">
        <v>395</v>
      </c>
      <c r="B825" t="s">
        <v>461</v>
      </c>
      <c r="C825" s="34">
        <v>24</v>
      </c>
      <c r="D825" s="33" t="s">
        <v>119</v>
      </c>
    </row>
    <row r="826" spans="1:4" x14ac:dyDescent="0.3">
      <c r="A826" t="s">
        <v>174</v>
      </c>
      <c r="B826" t="s">
        <v>457</v>
      </c>
      <c r="C826" s="34">
        <v>44</v>
      </c>
      <c r="D826" s="33" t="s">
        <v>119</v>
      </c>
    </row>
    <row r="827" spans="1:4" x14ac:dyDescent="0.3">
      <c r="A827" t="s">
        <v>452</v>
      </c>
      <c r="B827" t="s">
        <v>456</v>
      </c>
      <c r="C827" s="34">
        <v>5</v>
      </c>
      <c r="D827" s="33" t="s">
        <v>515</v>
      </c>
    </row>
    <row r="828" spans="1:4" x14ac:dyDescent="0.3">
      <c r="A828" t="s">
        <v>317</v>
      </c>
      <c r="B828" t="s">
        <v>457</v>
      </c>
      <c r="C828" s="34">
        <v>1</v>
      </c>
      <c r="D828" s="33" t="s">
        <v>525</v>
      </c>
    </row>
    <row r="829" spans="1:4" ht="15" thickBot="1" x14ac:dyDescent="0.35">
      <c r="A829" t="s">
        <v>188</v>
      </c>
      <c r="B829" t="s">
        <v>457</v>
      </c>
      <c r="C829" s="34">
        <v>2</v>
      </c>
      <c r="D829" s="33" t="s">
        <v>119</v>
      </c>
    </row>
    <row r="830" spans="1:4" x14ac:dyDescent="0.3">
      <c r="A830" s="25" t="s">
        <v>463</v>
      </c>
      <c r="B830" s="22"/>
      <c r="C830" s="23">
        <f>SUM(C786:C829)</f>
        <v>346</v>
      </c>
      <c r="D830" s="22"/>
    </row>
    <row r="832" spans="1:4" x14ac:dyDescent="0.3">
      <c r="A832" s="32" t="s">
        <v>526</v>
      </c>
      <c r="B832" s="32"/>
      <c r="C832" s="32"/>
      <c r="D832" s="32"/>
    </row>
    <row r="833" spans="1:4" x14ac:dyDescent="0.3">
      <c r="A833" t="s">
        <v>483</v>
      </c>
      <c r="B833" t="s">
        <v>458</v>
      </c>
      <c r="C833" s="34">
        <v>1</v>
      </c>
      <c r="D833" s="33" t="s">
        <v>119</v>
      </c>
    </row>
    <row r="834" spans="1:4" x14ac:dyDescent="0.3">
      <c r="A834" t="s">
        <v>130</v>
      </c>
      <c r="B834" t="s">
        <v>457</v>
      </c>
      <c r="C834" s="34">
        <v>2</v>
      </c>
      <c r="D834" s="33" t="s">
        <v>119</v>
      </c>
    </row>
    <row r="835" spans="1:4" x14ac:dyDescent="0.3">
      <c r="A835" t="s">
        <v>133</v>
      </c>
      <c r="B835" t="s">
        <v>457</v>
      </c>
      <c r="C835" s="34">
        <v>10</v>
      </c>
      <c r="D835" s="33" t="s">
        <v>119</v>
      </c>
    </row>
    <row r="836" spans="1:4" x14ac:dyDescent="0.3">
      <c r="A836" t="s">
        <v>346</v>
      </c>
      <c r="B836" t="s">
        <v>457</v>
      </c>
      <c r="C836" s="34">
        <v>3</v>
      </c>
      <c r="D836" s="33" t="s">
        <v>119</v>
      </c>
    </row>
    <row r="837" spans="1:4" x14ac:dyDescent="0.3">
      <c r="A837" t="s">
        <v>218</v>
      </c>
      <c r="B837" t="s">
        <v>457</v>
      </c>
      <c r="C837" s="34">
        <v>1</v>
      </c>
      <c r="D837" s="33" t="s">
        <v>119</v>
      </c>
    </row>
    <row r="838" spans="1:4" x14ac:dyDescent="0.3">
      <c r="A838" t="s">
        <v>258</v>
      </c>
      <c r="B838" t="s">
        <v>457</v>
      </c>
      <c r="C838" s="34">
        <v>8</v>
      </c>
      <c r="D838" s="33" t="s">
        <v>119</v>
      </c>
    </row>
    <row r="839" spans="1:4" x14ac:dyDescent="0.3">
      <c r="A839" t="s">
        <v>474</v>
      </c>
      <c r="B839" t="s">
        <v>461</v>
      </c>
      <c r="C839" s="34">
        <v>1</v>
      </c>
      <c r="D839" s="33" t="s">
        <v>119</v>
      </c>
    </row>
    <row r="840" spans="1:4" x14ac:dyDescent="0.3">
      <c r="A840" t="s">
        <v>137</v>
      </c>
      <c r="B840" t="s">
        <v>457</v>
      </c>
      <c r="C840" s="34">
        <v>25</v>
      </c>
      <c r="D840" s="33" t="s">
        <v>119</v>
      </c>
    </row>
    <row r="841" spans="1:4" x14ac:dyDescent="0.3">
      <c r="A841" t="s">
        <v>138</v>
      </c>
      <c r="B841" t="s">
        <v>457</v>
      </c>
      <c r="C841" s="34">
        <v>5</v>
      </c>
      <c r="D841" s="33" t="s">
        <v>119</v>
      </c>
    </row>
    <row r="842" spans="1:4" x14ac:dyDescent="0.3">
      <c r="A842" t="s">
        <v>208</v>
      </c>
      <c r="B842" t="s">
        <v>457</v>
      </c>
      <c r="C842" s="34">
        <v>1</v>
      </c>
      <c r="D842" s="33" t="s">
        <v>119</v>
      </c>
    </row>
    <row r="843" spans="1:4" x14ac:dyDescent="0.3">
      <c r="A843" t="s">
        <v>297</v>
      </c>
      <c r="B843" t="s">
        <v>457</v>
      </c>
      <c r="C843" s="34">
        <v>1</v>
      </c>
      <c r="D843" s="33" t="s">
        <v>119</v>
      </c>
    </row>
    <row r="844" spans="1:4" x14ac:dyDescent="0.3">
      <c r="A844" t="s">
        <v>231</v>
      </c>
      <c r="B844" t="s">
        <v>457</v>
      </c>
      <c r="C844" s="34">
        <v>1</v>
      </c>
      <c r="D844" s="33" t="s">
        <v>119</v>
      </c>
    </row>
    <row r="845" spans="1:4" x14ac:dyDescent="0.3">
      <c r="A845" t="s">
        <v>219</v>
      </c>
      <c r="B845" t="s">
        <v>457</v>
      </c>
      <c r="C845" s="34">
        <v>2</v>
      </c>
      <c r="D845" s="33" t="s">
        <v>119</v>
      </c>
    </row>
    <row r="846" spans="1:4" x14ac:dyDescent="0.3">
      <c r="A846" t="s">
        <v>455</v>
      </c>
      <c r="B846" t="s">
        <v>461</v>
      </c>
      <c r="C846" s="34">
        <v>9</v>
      </c>
      <c r="D846" s="33" t="s">
        <v>527</v>
      </c>
    </row>
    <row r="847" spans="1:4" x14ac:dyDescent="0.3">
      <c r="A847" t="s">
        <v>487</v>
      </c>
      <c r="B847" t="s">
        <v>458</v>
      </c>
      <c r="C847" s="34">
        <v>3</v>
      </c>
      <c r="D847" s="33" t="s">
        <v>119</v>
      </c>
    </row>
    <row r="848" spans="1:4" x14ac:dyDescent="0.3">
      <c r="A848" t="s">
        <v>192</v>
      </c>
      <c r="B848" t="s">
        <v>457</v>
      </c>
      <c r="C848" s="34">
        <v>1</v>
      </c>
      <c r="D848" s="33" t="s">
        <v>119</v>
      </c>
    </row>
    <row r="849" spans="1:4" x14ac:dyDescent="0.3">
      <c r="A849" t="s">
        <v>300</v>
      </c>
      <c r="B849" t="s">
        <v>457</v>
      </c>
      <c r="C849" s="34">
        <v>3</v>
      </c>
      <c r="D849" s="33" t="s">
        <v>119</v>
      </c>
    </row>
    <row r="850" spans="1:4" x14ac:dyDescent="0.3">
      <c r="A850" t="s">
        <v>299</v>
      </c>
      <c r="B850" t="s">
        <v>457</v>
      </c>
      <c r="C850" s="34">
        <v>3</v>
      </c>
      <c r="D850" s="33" t="s">
        <v>119</v>
      </c>
    </row>
    <row r="851" spans="1:4" x14ac:dyDescent="0.3">
      <c r="A851" t="s">
        <v>301</v>
      </c>
      <c r="B851" t="s">
        <v>457</v>
      </c>
      <c r="C851" s="34">
        <v>10</v>
      </c>
      <c r="D851" s="33" t="s">
        <v>119</v>
      </c>
    </row>
    <row r="852" spans="1:4" x14ac:dyDescent="0.3">
      <c r="A852" t="s">
        <v>141</v>
      </c>
      <c r="B852" t="s">
        <v>457</v>
      </c>
      <c r="C852" s="34">
        <v>2</v>
      </c>
      <c r="D852" s="33" t="s">
        <v>119</v>
      </c>
    </row>
    <row r="853" spans="1:4" x14ac:dyDescent="0.3">
      <c r="A853" t="s">
        <v>157</v>
      </c>
      <c r="B853" t="s">
        <v>457</v>
      </c>
      <c r="C853" s="34">
        <v>1</v>
      </c>
      <c r="D853" s="33" t="s">
        <v>119</v>
      </c>
    </row>
    <row r="854" spans="1:4" x14ac:dyDescent="0.3">
      <c r="A854" t="s">
        <v>160</v>
      </c>
      <c r="B854" t="s">
        <v>457</v>
      </c>
      <c r="C854" s="34">
        <v>73</v>
      </c>
      <c r="D854" s="33" t="s">
        <v>119</v>
      </c>
    </row>
    <row r="855" spans="1:4" x14ac:dyDescent="0.3">
      <c r="A855" t="s">
        <v>302</v>
      </c>
      <c r="B855" t="s">
        <v>457</v>
      </c>
      <c r="C855" s="34">
        <v>6</v>
      </c>
      <c r="D855" s="33" t="s">
        <v>528</v>
      </c>
    </row>
    <row r="856" spans="1:4" x14ac:dyDescent="0.3">
      <c r="A856" t="s">
        <v>468</v>
      </c>
      <c r="B856" t="s">
        <v>458</v>
      </c>
      <c r="C856" s="34">
        <v>11</v>
      </c>
      <c r="D856" s="33" t="s">
        <v>119</v>
      </c>
    </row>
    <row r="857" spans="1:4" x14ac:dyDescent="0.3">
      <c r="A857" t="s">
        <v>335</v>
      </c>
      <c r="B857" t="s">
        <v>457</v>
      </c>
      <c r="C857" s="34">
        <v>6</v>
      </c>
      <c r="D857" s="33" t="s">
        <v>119</v>
      </c>
    </row>
    <row r="858" spans="1:4" x14ac:dyDescent="0.3">
      <c r="A858" t="s">
        <v>169</v>
      </c>
      <c r="B858" t="s">
        <v>457</v>
      </c>
      <c r="C858" s="34">
        <v>14</v>
      </c>
      <c r="D858" s="33" t="s">
        <v>119</v>
      </c>
    </row>
    <row r="859" spans="1:4" x14ac:dyDescent="0.3">
      <c r="A859" t="s">
        <v>348</v>
      </c>
      <c r="B859" t="s">
        <v>457</v>
      </c>
      <c r="C859" s="34">
        <v>1</v>
      </c>
      <c r="D859" s="33" t="s">
        <v>119</v>
      </c>
    </row>
    <row r="860" spans="1:4" x14ac:dyDescent="0.3">
      <c r="A860" t="s">
        <v>220</v>
      </c>
      <c r="B860" t="s">
        <v>457</v>
      </c>
      <c r="C860" s="34">
        <v>9</v>
      </c>
      <c r="D860" s="33" t="s">
        <v>119</v>
      </c>
    </row>
    <row r="861" spans="1:4" x14ac:dyDescent="0.3">
      <c r="A861" t="s">
        <v>454</v>
      </c>
      <c r="B861" t="s">
        <v>458</v>
      </c>
      <c r="C861" s="34">
        <v>1</v>
      </c>
      <c r="D861" s="33" t="s">
        <v>119</v>
      </c>
    </row>
    <row r="862" spans="1:4" x14ac:dyDescent="0.3">
      <c r="A862" t="s">
        <v>223</v>
      </c>
      <c r="B862" t="s">
        <v>457</v>
      </c>
      <c r="C862" s="34">
        <v>12</v>
      </c>
      <c r="D862" s="33" t="s">
        <v>119</v>
      </c>
    </row>
    <row r="863" spans="1:4" x14ac:dyDescent="0.3">
      <c r="A863" t="s">
        <v>385</v>
      </c>
      <c r="B863" t="s">
        <v>461</v>
      </c>
      <c r="C863" s="34">
        <v>3</v>
      </c>
      <c r="D863" s="33" t="s">
        <v>119</v>
      </c>
    </row>
    <row r="864" spans="1:4" x14ac:dyDescent="0.3">
      <c r="A864" t="s">
        <v>229</v>
      </c>
      <c r="B864" t="s">
        <v>457</v>
      </c>
      <c r="C864" s="34">
        <v>7</v>
      </c>
      <c r="D864" s="33" t="s">
        <v>119</v>
      </c>
    </row>
    <row r="865" spans="1:4" x14ac:dyDescent="0.3">
      <c r="A865" t="s">
        <v>306</v>
      </c>
      <c r="B865" t="s">
        <v>457</v>
      </c>
      <c r="C865" s="34">
        <v>16</v>
      </c>
      <c r="D865" s="33" t="s">
        <v>119</v>
      </c>
    </row>
    <row r="866" spans="1:4" x14ac:dyDescent="0.3">
      <c r="A866" t="s">
        <v>272</v>
      </c>
      <c r="B866" t="s">
        <v>457</v>
      </c>
      <c r="C866" s="34">
        <v>1</v>
      </c>
      <c r="D866" s="33" t="s">
        <v>119</v>
      </c>
    </row>
    <row r="867" spans="1:4" x14ac:dyDescent="0.3">
      <c r="A867" t="s">
        <v>435</v>
      </c>
      <c r="B867" t="s">
        <v>456</v>
      </c>
      <c r="C867" s="34">
        <v>25</v>
      </c>
      <c r="D867" s="33" t="s">
        <v>119</v>
      </c>
    </row>
    <row r="868" spans="1:4" x14ac:dyDescent="0.3">
      <c r="A868" t="s">
        <v>364</v>
      </c>
      <c r="B868" t="s">
        <v>457</v>
      </c>
      <c r="C868" s="34">
        <v>6</v>
      </c>
      <c r="D868" s="33" t="s">
        <v>119</v>
      </c>
    </row>
    <row r="869" spans="1:4" x14ac:dyDescent="0.3">
      <c r="A869" t="s">
        <v>308</v>
      </c>
      <c r="B869" t="s">
        <v>457</v>
      </c>
      <c r="C869" s="34">
        <v>4</v>
      </c>
      <c r="D869" s="33" t="s">
        <v>119</v>
      </c>
    </row>
    <row r="870" spans="1:4" x14ac:dyDescent="0.3">
      <c r="A870" t="s">
        <v>311</v>
      </c>
      <c r="B870" t="s">
        <v>457</v>
      </c>
      <c r="C870" s="34">
        <v>4</v>
      </c>
      <c r="D870" s="33" t="s">
        <v>119</v>
      </c>
    </row>
    <row r="871" spans="1:4" x14ac:dyDescent="0.3">
      <c r="A871" t="s">
        <v>464</v>
      </c>
      <c r="B871" t="s">
        <v>458</v>
      </c>
      <c r="C871" s="34">
        <v>2</v>
      </c>
      <c r="D871" s="33" t="s">
        <v>119</v>
      </c>
    </row>
    <row r="872" spans="1:4" x14ac:dyDescent="0.3">
      <c r="A872" t="s">
        <v>402</v>
      </c>
      <c r="B872" t="s">
        <v>456</v>
      </c>
      <c r="C872" s="34">
        <v>1</v>
      </c>
      <c r="D872" s="33" t="s">
        <v>119</v>
      </c>
    </row>
    <row r="873" spans="1:4" x14ac:dyDescent="0.3">
      <c r="A873" t="s">
        <v>275</v>
      </c>
      <c r="B873" t="s">
        <v>457</v>
      </c>
      <c r="C873" s="34">
        <v>1</v>
      </c>
      <c r="D873" s="33" t="s">
        <v>119</v>
      </c>
    </row>
    <row r="874" spans="1:4" x14ac:dyDescent="0.3">
      <c r="A874" t="s">
        <v>293</v>
      </c>
      <c r="B874" t="s">
        <v>457</v>
      </c>
      <c r="C874" s="34">
        <v>3</v>
      </c>
      <c r="D874" s="33" t="s">
        <v>529</v>
      </c>
    </row>
    <row r="875" spans="1:4" x14ac:dyDescent="0.3">
      <c r="A875" t="s">
        <v>201</v>
      </c>
      <c r="B875" t="s">
        <v>457</v>
      </c>
      <c r="C875" s="34">
        <v>2</v>
      </c>
      <c r="D875" s="33" t="s">
        <v>119</v>
      </c>
    </row>
    <row r="876" spans="1:4" x14ac:dyDescent="0.3">
      <c r="A876" t="s">
        <v>284</v>
      </c>
      <c r="B876" t="s">
        <v>457</v>
      </c>
      <c r="C876" s="34">
        <v>3</v>
      </c>
      <c r="D876" s="33" t="s">
        <v>119</v>
      </c>
    </row>
    <row r="877" spans="1:4" x14ac:dyDescent="0.3">
      <c r="A877" t="s">
        <v>172</v>
      </c>
      <c r="B877" t="s">
        <v>457</v>
      </c>
      <c r="C877" s="34">
        <v>7</v>
      </c>
      <c r="D877" s="33" t="s">
        <v>119</v>
      </c>
    </row>
    <row r="878" spans="1:4" x14ac:dyDescent="0.3">
      <c r="A878" t="s">
        <v>343</v>
      </c>
      <c r="B878" t="s">
        <v>457</v>
      </c>
      <c r="C878" s="34">
        <v>8</v>
      </c>
      <c r="D878" s="33" t="s">
        <v>119</v>
      </c>
    </row>
    <row r="879" spans="1:4" x14ac:dyDescent="0.3">
      <c r="A879" t="s">
        <v>198</v>
      </c>
      <c r="B879" t="s">
        <v>457</v>
      </c>
      <c r="C879" s="34">
        <v>1</v>
      </c>
      <c r="D879" s="33" t="s">
        <v>119</v>
      </c>
    </row>
    <row r="880" spans="1:4" x14ac:dyDescent="0.3">
      <c r="A880" t="s">
        <v>391</v>
      </c>
      <c r="B880" t="s">
        <v>461</v>
      </c>
      <c r="C880" s="34">
        <v>5</v>
      </c>
      <c r="D880" s="33" t="s">
        <v>119</v>
      </c>
    </row>
    <row r="881" spans="1:4" x14ac:dyDescent="0.3">
      <c r="A881" t="s">
        <v>392</v>
      </c>
      <c r="B881" t="s">
        <v>461</v>
      </c>
      <c r="C881" s="34">
        <v>1</v>
      </c>
      <c r="D881" s="33" t="s">
        <v>119</v>
      </c>
    </row>
    <row r="882" spans="1:4" x14ac:dyDescent="0.3">
      <c r="A882" t="s">
        <v>453</v>
      </c>
      <c r="B882" t="s">
        <v>456</v>
      </c>
      <c r="C882" s="34">
        <v>6</v>
      </c>
      <c r="D882" s="33" t="s">
        <v>119</v>
      </c>
    </row>
    <row r="883" spans="1:4" x14ac:dyDescent="0.3">
      <c r="A883" t="s">
        <v>411</v>
      </c>
      <c r="B883" t="s">
        <v>456</v>
      </c>
      <c r="C883" s="34">
        <v>1</v>
      </c>
      <c r="D883" s="33" t="s">
        <v>119</v>
      </c>
    </row>
    <row r="884" spans="1:4" x14ac:dyDescent="0.3">
      <c r="A884" t="s">
        <v>286</v>
      </c>
      <c r="B884" t="s">
        <v>457</v>
      </c>
      <c r="C884" s="34">
        <v>5</v>
      </c>
      <c r="D884" s="33" t="s">
        <v>119</v>
      </c>
    </row>
    <row r="885" spans="1:4" x14ac:dyDescent="0.3">
      <c r="A885" t="s">
        <v>204</v>
      </c>
      <c r="B885" t="s">
        <v>457</v>
      </c>
      <c r="C885" s="34">
        <v>1</v>
      </c>
      <c r="D885" s="33" t="s">
        <v>119</v>
      </c>
    </row>
    <row r="886" spans="1:4" x14ac:dyDescent="0.3">
      <c r="A886" t="s">
        <v>321</v>
      </c>
      <c r="B886" t="s">
        <v>457</v>
      </c>
      <c r="C886" s="34">
        <v>1</v>
      </c>
      <c r="D886" s="33" t="s">
        <v>119</v>
      </c>
    </row>
    <row r="887" spans="1:4" x14ac:dyDescent="0.3">
      <c r="A887" t="s">
        <v>395</v>
      </c>
      <c r="B887" t="s">
        <v>461</v>
      </c>
      <c r="C887" s="34">
        <v>13</v>
      </c>
      <c r="D887" s="33" t="s">
        <v>119</v>
      </c>
    </row>
    <row r="888" spans="1:4" x14ac:dyDescent="0.3">
      <c r="A888" t="s">
        <v>174</v>
      </c>
      <c r="B888" t="s">
        <v>457</v>
      </c>
      <c r="C888" s="34">
        <v>8</v>
      </c>
      <c r="D888" s="33" t="s">
        <v>119</v>
      </c>
    </row>
    <row r="889" spans="1:4" x14ac:dyDescent="0.3">
      <c r="A889" t="s">
        <v>452</v>
      </c>
      <c r="B889" t="s">
        <v>456</v>
      </c>
      <c r="C889" s="34">
        <v>5</v>
      </c>
      <c r="D889" s="33" t="s">
        <v>515</v>
      </c>
    </row>
    <row r="890" spans="1:4" x14ac:dyDescent="0.3">
      <c r="A890" t="s">
        <v>317</v>
      </c>
      <c r="B890" t="s">
        <v>457</v>
      </c>
      <c r="C890" s="34">
        <v>18</v>
      </c>
      <c r="D890" s="33" t="s">
        <v>530</v>
      </c>
    </row>
    <row r="891" spans="1:4" ht="15" thickBot="1" x14ac:dyDescent="0.35">
      <c r="A891" t="s">
        <v>188</v>
      </c>
      <c r="B891" t="s">
        <v>457</v>
      </c>
      <c r="C891" s="34">
        <v>1</v>
      </c>
      <c r="D891" s="33" t="s">
        <v>119</v>
      </c>
    </row>
    <row r="892" spans="1:4" x14ac:dyDescent="0.3">
      <c r="A892" s="25" t="s">
        <v>463</v>
      </c>
      <c r="B892" s="22"/>
      <c r="C892" s="23">
        <f>SUM(C833:C891)</f>
        <v>385</v>
      </c>
      <c r="D892" s="22"/>
    </row>
    <row r="894" spans="1:4" x14ac:dyDescent="0.3">
      <c r="A894" s="32" t="s">
        <v>531</v>
      </c>
      <c r="B894" s="32"/>
      <c r="C894" s="32"/>
      <c r="D894" s="32"/>
    </row>
    <row r="895" spans="1:4" x14ac:dyDescent="0.3">
      <c r="A895" t="s">
        <v>134</v>
      </c>
      <c r="B895" t="s">
        <v>457</v>
      </c>
      <c r="C895" s="34">
        <v>1</v>
      </c>
      <c r="D895" s="33" t="s">
        <v>119</v>
      </c>
    </row>
    <row r="896" spans="1:4" x14ac:dyDescent="0.3">
      <c r="A896" t="s">
        <v>258</v>
      </c>
      <c r="B896" t="s">
        <v>457</v>
      </c>
      <c r="C896" s="34">
        <v>9</v>
      </c>
      <c r="D896" s="33" t="s">
        <v>119</v>
      </c>
    </row>
    <row r="897" spans="1:4" x14ac:dyDescent="0.3">
      <c r="A897" t="s">
        <v>138</v>
      </c>
      <c r="B897" t="s">
        <v>457</v>
      </c>
      <c r="C897" s="34">
        <v>134</v>
      </c>
      <c r="D897" s="33" t="s">
        <v>119</v>
      </c>
    </row>
    <row r="898" spans="1:4" x14ac:dyDescent="0.3">
      <c r="A898" t="s">
        <v>481</v>
      </c>
      <c r="B898" t="s">
        <v>458</v>
      </c>
      <c r="C898" s="34">
        <v>1</v>
      </c>
      <c r="D898" s="33" t="s">
        <v>119</v>
      </c>
    </row>
    <row r="899" spans="1:4" x14ac:dyDescent="0.3">
      <c r="A899" t="s">
        <v>207</v>
      </c>
      <c r="B899" t="s">
        <v>457</v>
      </c>
      <c r="C899" s="34">
        <v>2</v>
      </c>
      <c r="D899" s="33" t="s">
        <v>119</v>
      </c>
    </row>
    <row r="900" spans="1:4" x14ac:dyDescent="0.3">
      <c r="A900" t="s">
        <v>208</v>
      </c>
      <c r="B900" t="s">
        <v>457</v>
      </c>
      <c r="C900" s="34">
        <v>16</v>
      </c>
      <c r="D900" s="33" t="s">
        <v>119</v>
      </c>
    </row>
    <row r="901" spans="1:4" x14ac:dyDescent="0.3">
      <c r="A901" t="s">
        <v>192</v>
      </c>
      <c r="B901" t="s">
        <v>457</v>
      </c>
      <c r="C901" s="34">
        <v>1</v>
      </c>
      <c r="D901" s="33" t="s">
        <v>119</v>
      </c>
    </row>
    <row r="902" spans="1:4" x14ac:dyDescent="0.3">
      <c r="A902" t="s">
        <v>282</v>
      </c>
      <c r="B902" t="s">
        <v>457</v>
      </c>
      <c r="C902" s="34">
        <v>1</v>
      </c>
      <c r="D902" s="33" t="s">
        <v>119</v>
      </c>
    </row>
    <row r="903" spans="1:4" x14ac:dyDescent="0.3">
      <c r="A903" t="s">
        <v>155</v>
      </c>
      <c r="B903" t="s">
        <v>457</v>
      </c>
      <c r="C903" s="34">
        <v>1</v>
      </c>
      <c r="D903" s="33" t="s">
        <v>119</v>
      </c>
    </row>
    <row r="904" spans="1:4" x14ac:dyDescent="0.3">
      <c r="A904" t="s">
        <v>159</v>
      </c>
      <c r="B904" t="s">
        <v>457</v>
      </c>
      <c r="C904" s="34">
        <v>57</v>
      </c>
      <c r="D904" s="33" t="s">
        <v>119</v>
      </c>
    </row>
    <row r="905" spans="1:4" x14ac:dyDescent="0.3">
      <c r="A905" t="s">
        <v>468</v>
      </c>
      <c r="B905" t="s">
        <v>458</v>
      </c>
      <c r="C905" s="34">
        <v>3</v>
      </c>
      <c r="D905" s="33" t="s">
        <v>119</v>
      </c>
    </row>
    <row r="906" spans="1:4" x14ac:dyDescent="0.3">
      <c r="A906" t="s">
        <v>169</v>
      </c>
      <c r="B906" t="s">
        <v>457</v>
      </c>
      <c r="C906" s="34">
        <v>20</v>
      </c>
      <c r="D906" s="33" t="s">
        <v>119</v>
      </c>
    </row>
    <row r="907" spans="1:4" x14ac:dyDescent="0.3">
      <c r="A907" t="s">
        <v>223</v>
      </c>
      <c r="B907" t="s">
        <v>457</v>
      </c>
      <c r="C907" s="34">
        <v>1</v>
      </c>
      <c r="D907" s="33" t="s">
        <v>119</v>
      </c>
    </row>
    <row r="908" spans="1:4" x14ac:dyDescent="0.3">
      <c r="A908" t="s">
        <v>385</v>
      </c>
      <c r="B908" t="s">
        <v>461</v>
      </c>
      <c r="C908" s="34">
        <v>4</v>
      </c>
      <c r="D908" s="33" t="s">
        <v>119</v>
      </c>
    </row>
    <row r="909" spans="1:4" x14ac:dyDescent="0.3">
      <c r="A909" t="s">
        <v>229</v>
      </c>
      <c r="B909" t="s">
        <v>457</v>
      </c>
      <c r="C909" s="34">
        <v>5</v>
      </c>
      <c r="D909" s="33" t="s">
        <v>119</v>
      </c>
    </row>
    <row r="910" spans="1:4" x14ac:dyDescent="0.3">
      <c r="A910" t="s">
        <v>435</v>
      </c>
      <c r="B910" t="s">
        <v>456</v>
      </c>
      <c r="C910" s="34">
        <v>2</v>
      </c>
      <c r="D910" s="33" t="s">
        <v>119</v>
      </c>
    </row>
    <row r="911" spans="1:4" x14ac:dyDescent="0.3">
      <c r="A911" t="s">
        <v>233</v>
      </c>
      <c r="B911" t="s">
        <v>457</v>
      </c>
      <c r="C911" s="34">
        <v>1</v>
      </c>
      <c r="D911" s="33" t="s">
        <v>119</v>
      </c>
    </row>
    <row r="912" spans="1:4" x14ac:dyDescent="0.3">
      <c r="A912" t="s">
        <v>364</v>
      </c>
      <c r="B912" t="s">
        <v>457</v>
      </c>
      <c r="C912" s="34">
        <v>1</v>
      </c>
      <c r="D912" s="33" t="s">
        <v>119</v>
      </c>
    </row>
    <row r="913" spans="1:4" x14ac:dyDescent="0.3">
      <c r="A913" t="s">
        <v>213</v>
      </c>
      <c r="B913" t="s">
        <v>457</v>
      </c>
      <c r="C913" s="34">
        <v>1</v>
      </c>
      <c r="D913" s="33" t="s">
        <v>119</v>
      </c>
    </row>
    <row r="914" spans="1:4" x14ac:dyDescent="0.3">
      <c r="A914" t="s">
        <v>380</v>
      </c>
      <c r="B914" t="s">
        <v>461</v>
      </c>
      <c r="C914" s="34">
        <v>1</v>
      </c>
      <c r="D914" s="33" t="s">
        <v>119</v>
      </c>
    </row>
    <row r="915" spans="1:4" x14ac:dyDescent="0.3">
      <c r="A915" t="s">
        <v>244</v>
      </c>
      <c r="B915" t="s">
        <v>457</v>
      </c>
      <c r="C915" s="34">
        <v>1</v>
      </c>
      <c r="D915" s="33" t="s">
        <v>119</v>
      </c>
    </row>
    <row r="916" spans="1:4" x14ac:dyDescent="0.3">
      <c r="A916" t="s">
        <v>201</v>
      </c>
      <c r="B916" t="s">
        <v>457</v>
      </c>
      <c r="C916" s="34">
        <v>5</v>
      </c>
      <c r="D916" s="33" t="s">
        <v>119</v>
      </c>
    </row>
    <row r="917" spans="1:4" x14ac:dyDescent="0.3">
      <c r="A917" t="s">
        <v>284</v>
      </c>
      <c r="B917" t="s">
        <v>457</v>
      </c>
      <c r="C917" s="34">
        <v>1</v>
      </c>
      <c r="D917" s="33" t="s">
        <v>119</v>
      </c>
    </row>
    <row r="918" spans="1:4" x14ac:dyDescent="0.3">
      <c r="A918" t="s">
        <v>172</v>
      </c>
      <c r="B918" t="s">
        <v>457</v>
      </c>
      <c r="C918" s="34">
        <v>5</v>
      </c>
      <c r="D918" s="33" t="s">
        <v>119</v>
      </c>
    </row>
    <row r="919" spans="1:4" x14ac:dyDescent="0.3">
      <c r="A919" t="s">
        <v>391</v>
      </c>
      <c r="B919" t="s">
        <v>461</v>
      </c>
      <c r="C919" s="34">
        <v>12</v>
      </c>
      <c r="D919" s="33" t="s">
        <v>119</v>
      </c>
    </row>
    <row r="920" spans="1:4" x14ac:dyDescent="0.3">
      <c r="A920" t="s">
        <v>392</v>
      </c>
      <c r="B920" t="s">
        <v>461</v>
      </c>
      <c r="C920" s="34">
        <v>1</v>
      </c>
      <c r="D920" s="33" t="s">
        <v>119</v>
      </c>
    </row>
    <row r="921" spans="1:4" x14ac:dyDescent="0.3">
      <c r="A921" t="s">
        <v>453</v>
      </c>
      <c r="B921" t="s">
        <v>456</v>
      </c>
      <c r="C921" s="34">
        <v>6</v>
      </c>
      <c r="D921" s="33" t="s">
        <v>119</v>
      </c>
    </row>
    <row r="922" spans="1:4" x14ac:dyDescent="0.3">
      <c r="A922" t="s">
        <v>248</v>
      </c>
      <c r="B922" t="s">
        <v>457</v>
      </c>
      <c r="C922" s="34">
        <v>1</v>
      </c>
      <c r="D922" s="33" t="s">
        <v>119</v>
      </c>
    </row>
    <row r="923" spans="1:4" x14ac:dyDescent="0.3">
      <c r="A923" t="s">
        <v>509</v>
      </c>
      <c r="B923" t="s">
        <v>457</v>
      </c>
      <c r="C923" s="34">
        <v>1</v>
      </c>
      <c r="D923" s="33" t="s">
        <v>119</v>
      </c>
    </row>
    <row r="924" spans="1:4" x14ac:dyDescent="0.3">
      <c r="A924" t="s">
        <v>394</v>
      </c>
      <c r="B924" t="s">
        <v>461</v>
      </c>
      <c r="C924" s="34">
        <v>1</v>
      </c>
      <c r="D924" s="33" t="s">
        <v>119</v>
      </c>
    </row>
    <row r="925" spans="1:4" x14ac:dyDescent="0.3">
      <c r="A925" t="s">
        <v>395</v>
      </c>
      <c r="B925" t="s">
        <v>461</v>
      </c>
      <c r="C925" s="34">
        <v>15</v>
      </c>
      <c r="D925" s="33" t="s">
        <v>119</v>
      </c>
    </row>
    <row r="926" spans="1:4" x14ac:dyDescent="0.3">
      <c r="A926" t="s">
        <v>174</v>
      </c>
      <c r="B926" t="s">
        <v>457</v>
      </c>
      <c r="C926" s="34">
        <v>2</v>
      </c>
      <c r="D926" s="33" t="s">
        <v>119</v>
      </c>
    </row>
    <row r="927" spans="1:4" x14ac:dyDescent="0.3">
      <c r="A927" t="s">
        <v>452</v>
      </c>
      <c r="B927" t="s">
        <v>456</v>
      </c>
      <c r="C927" s="34">
        <v>2</v>
      </c>
      <c r="D927" s="33" t="s">
        <v>515</v>
      </c>
    </row>
    <row r="928" spans="1:4" x14ac:dyDescent="0.3">
      <c r="A928" t="s">
        <v>317</v>
      </c>
      <c r="B928" t="s">
        <v>457</v>
      </c>
      <c r="C928" s="34">
        <v>1</v>
      </c>
      <c r="D928" s="33" t="s">
        <v>532</v>
      </c>
    </row>
    <row r="929" spans="1:4" ht="15" thickBot="1" x14ac:dyDescent="0.35">
      <c r="A929" t="s">
        <v>533</v>
      </c>
      <c r="B929" t="s">
        <v>458</v>
      </c>
      <c r="C929" s="34">
        <v>1</v>
      </c>
      <c r="D929" s="33" t="s">
        <v>119</v>
      </c>
    </row>
    <row r="930" spans="1:4" x14ac:dyDescent="0.3">
      <c r="A930" s="25" t="s">
        <v>463</v>
      </c>
      <c r="B930" s="22"/>
      <c r="C930" s="23">
        <f>SUM(C895:C929)</f>
        <v>317</v>
      </c>
      <c r="D930" s="22"/>
    </row>
    <row r="933" spans="1:4" x14ac:dyDescent="0.3">
      <c r="A933" s="32" t="s">
        <v>536</v>
      </c>
      <c r="B933" s="32"/>
      <c r="C933" s="32"/>
      <c r="D933" s="32"/>
    </row>
    <row r="934" spans="1:4" x14ac:dyDescent="0.3">
      <c r="A934" t="s">
        <v>258</v>
      </c>
      <c r="B934" t="s">
        <v>457</v>
      </c>
      <c r="C934" s="34">
        <v>7</v>
      </c>
      <c r="D934" s="33" t="s">
        <v>119</v>
      </c>
    </row>
    <row r="935" spans="1:4" x14ac:dyDescent="0.3">
      <c r="A935" t="s">
        <v>382</v>
      </c>
      <c r="B935" t="s">
        <v>461</v>
      </c>
      <c r="C935" s="34">
        <v>1</v>
      </c>
      <c r="D935" s="33" t="s">
        <v>119</v>
      </c>
    </row>
    <row r="936" spans="1:4" x14ac:dyDescent="0.3">
      <c r="A936" t="s">
        <v>138</v>
      </c>
      <c r="B936" t="s">
        <v>457</v>
      </c>
      <c r="C936" s="34">
        <v>119</v>
      </c>
      <c r="D936" s="33" t="s">
        <v>119</v>
      </c>
    </row>
    <row r="937" spans="1:4" x14ac:dyDescent="0.3">
      <c r="A937" t="s">
        <v>207</v>
      </c>
      <c r="B937" t="s">
        <v>457</v>
      </c>
      <c r="C937" s="34">
        <v>2</v>
      </c>
      <c r="D937" s="33" t="s">
        <v>119</v>
      </c>
    </row>
    <row r="938" spans="1:4" x14ac:dyDescent="0.3">
      <c r="A938" t="s">
        <v>208</v>
      </c>
      <c r="B938" t="s">
        <v>457</v>
      </c>
      <c r="C938" s="34">
        <v>1</v>
      </c>
      <c r="D938" s="33" t="s">
        <v>119</v>
      </c>
    </row>
    <row r="939" spans="1:4" x14ac:dyDescent="0.3">
      <c r="A939" t="s">
        <v>231</v>
      </c>
      <c r="B939" t="s">
        <v>457</v>
      </c>
      <c r="C939" s="34">
        <v>1</v>
      </c>
      <c r="D939" s="33" t="s">
        <v>119</v>
      </c>
    </row>
    <row r="940" spans="1:4" x14ac:dyDescent="0.3">
      <c r="A940" t="s">
        <v>141</v>
      </c>
      <c r="B940" t="s">
        <v>457</v>
      </c>
      <c r="C940" s="34">
        <v>13</v>
      </c>
      <c r="D940" s="33" t="s">
        <v>119</v>
      </c>
    </row>
    <row r="941" spans="1:4" x14ac:dyDescent="0.3">
      <c r="A941" t="s">
        <v>155</v>
      </c>
      <c r="B941" t="s">
        <v>457</v>
      </c>
      <c r="C941" s="34">
        <v>3</v>
      </c>
      <c r="D941" s="33" t="s">
        <v>119</v>
      </c>
    </row>
    <row r="942" spans="1:4" x14ac:dyDescent="0.3">
      <c r="A942" t="s">
        <v>430</v>
      </c>
      <c r="B942" t="s">
        <v>456</v>
      </c>
      <c r="C942" s="34">
        <v>2</v>
      </c>
      <c r="D942" s="33" t="s">
        <v>119</v>
      </c>
    </row>
    <row r="943" spans="1:4" x14ac:dyDescent="0.3">
      <c r="A943" t="s">
        <v>159</v>
      </c>
      <c r="B943" t="s">
        <v>457</v>
      </c>
      <c r="C943" s="34">
        <v>8</v>
      </c>
      <c r="D943" s="33" t="s">
        <v>119</v>
      </c>
    </row>
    <row r="944" spans="1:4" x14ac:dyDescent="0.3">
      <c r="A944" t="s">
        <v>335</v>
      </c>
      <c r="B944" t="s">
        <v>457</v>
      </c>
      <c r="C944" s="34">
        <v>4</v>
      </c>
      <c r="D944" s="33" t="s">
        <v>119</v>
      </c>
    </row>
    <row r="945" spans="1:4" x14ac:dyDescent="0.3">
      <c r="A945" t="s">
        <v>169</v>
      </c>
      <c r="B945" t="s">
        <v>457</v>
      </c>
      <c r="C945" s="34">
        <v>9</v>
      </c>
      <c r="D945" s="33" t="s">
        <v>119</v>
      </c>
    </row>
    <row r="946" spans="1:4" x14ac:dyDescent="0.3">
      <c r="A946" t="s">
        <v>220</v>
      </c>
      <c r="B946" t="s">
        <v>457</v>
      </c>
      <c r="C946" s="34">
        <v>2</v>
      </c>
      <c r="D946" s="33" t="s">
        <v>119</v>
      </c>
    </row>
    <row r="947" spans="1:4" x14ac:dyDescent="0.3">
      <c r="A947" t="s">
        <v>385</v>
      </c>
      <c r="B947" t="s">
        <v>461</v>
      </c>
      <c r="C947" s="34">
        <v>5</v>
      </c>
      <c r="D947" s="33" t="s">
        <v>119</v>
      </c>
    </row>
    <row r="948" spans="1:4" x14ac:dyDescent="0.3">
      <c r="A948" t="s">
        <v>229</v>
      </c>
      <c r="B948" t="s">
        <v>457</v>
      </c>
      <c r="C948" s="34">
        <v>14</v>
      </c>
      <c r="D948" s="33" t="s">
        <v>119</v>
      </c>
    </row>
    <row r="949" spans="1:4" x14ac:dyDescent="0.3">
      <c r="A949" t="s">
        <v>306</v>
      </c>
      <c r="B949" t="s">
        <v>457</v>
      </c>
      <c r="C949" s="34">
        <v>2</v>
      </c>
      <c r="D949" s="33" t="s">
        <v>119</v>
      </c>
    </row>
    <row r="950" spans="1:4" x14ac:dyDescent="0.3">
      <c r="A950" t="s">
        <v>171</v>
      </c>
      <c r="B950" t="s">
        <v>457</v>
      </c>
      <c r="C950" s="34">
        <v>2</v>
      </c>
      <c r="D950" s="33" t="s">
        <v>119</v>
      </c>
    </row>
    <row r="951" spans="1:4" x14ac:dyDescent="0.3">
      <c r="A951" t="s">
        <v>210</v>
      </c>
      <c r="B951" t="s">
        <v>457</v>
      </c>
      <c r="C951" s="34">
        <v>5</v>
      </c>
      <c r="D951" s="33" t="s">
        <v>119</v>
      </c>
    </row>
    <row r="952" spans="1:4" x14ac:dyDescent="0.3">
      <c r="A952" t="s">
        <v>283</v>
      </c>
      <c r="B952" t="s">
        <v>457</v>
      </c>
      <c r="C952" s="34">
        <v>9</v>
      </c>
      <c r="D952" s="33" t="s">
        <v>119</v>
      </c>
    </row>
    <row r="953" spans="1:4" x14ac:dyDescent="0.3">
      <c r="A953" t="s">
        <v>508</v>
      </c>
      <c r="B953" t="s">
        <v>458</v>
      </c>
      <c r="C953" s="34">
        <v>1</v>
      </c>
      <c r="D953" s="33" t="s">
        <v>119</v>
      </c>
    </row>
    <row r="954" spans="1:4" x14ac:dyDescent="0.3">
      <c r="A954" t="s">
        <v>364</v>
      </c>
      <c r="B954" t="s">
        <v>457</v>
      </c>
      <c r="C954" s="34">
        <v>3</v>
      </c>
      <c r="D954" s="33" t="s">
        <v>119</v>
      </c>
    </row>
    <row r="955" spans="1:4" x14ac:dyDescent="0.3">
      <c r="A955" t="s">
        <v>308</v>
      </c>
      <c r="B955" t="s">
        <v>457</v>
      </c>
      <c r="C955" s="34">
        <v>2</v>
      </c>
      <c r="D955" s="33" t="s">
        <v>119</v>
      </c>
    </row>
    <row r="956" spans="1:4" x14ac:dyDescent="0.3">
      <c r="A956" t="s">
        <v>402</v>
      </c>
      <c r="B956" t="s">
        <v>456</v>
      </c>
      <c r="C956" s="34">
        <v>4</v>
      </c>
      <c r="D956" s="33" t="s">
        <v>119</v>
      </c>
    </row>
    <row r="957" spans="1:4" x14ac:dyDescent="0.3">
      <c r="A957" t="s">
        <v>470</v>
      </c>
      <c r="B957" t="s">
        <v>456</v>
      </c>
      <c r="C957" s="34">
        <v>3</v>
      </c>
      <c r="D957" s="33" t="s">
        <v>119</v>
      </c>
    </row>
    <row r="958" spans="1:4" x14ac:dyDescent="0.3">
      <c r="A958" t="s">
        <v>201</v>
      </c>
      <c r="B958" t="s">
        <v>457</v>
      </c>
      <c r="C958" s="34">
        <v>25</v>
      </c>
      <c r="D958" s="33" t="s">
        <v>119</v>
      </c>
    </row>
    <row r="959" spans="1:4" x14ac:dyDescent="0.3">
      <c r="A959" t="s">
        <v>284</v>
      </c>
      <c r="B959" t="s">
        <v>457</v>
      </c>
      <c r="C959" s="34">
        <v>1</v>
      </c>
      <c r="D959" s="33" t="s">
        <v>119</v>
      </c>
    </row>
    <row r="960" spans="1:4" x14ac:dyDescent="0.3">
      <c r="A960" t="s">
        <v>172</v>
      </c>
      <c r="B960" t="s">
        <v>457</v>
      </c>
      <c r="C960" s="34">
        <v>2</v>
      </c>
      <c r="D960" s="33" t="s">
        <v>119</v>
      </c>
    </row>
    <row r="961" spans="1:4" x14ac:dyDescent="0.3">
      <c r="A961" t="s">
        <v>411</v>
      </c>
      <c r="B961" t="s">
        <v>456</v>
      </c>
      <c r="C961" s="34">
        <v>5</v>
      </c>
      <c r="D961" s="33" t="s">
        <v>119</v>
      </c>
    </row>
    <row r="962" spans="1:4" x14ac:dyDescent="0.3">
      <c r="A962" t="s">
        <v>285</v>
      </c>
      <c r="B962" t="s">
        <v>457</v>
      </c>
      <c r="C962" s="34">
        <v>1</v>
      </c>
      <c r="D962" s="33" t="s">
        <v>119</v>
      </c>
    </row>
    <row r="963" spans="1:4" x14ac:dyDescent="0.3">
      <c r="A963" t="s">
        <v>286</v>
      </c>
      <c r="B963" t="s">
        <v>457</v>
      </c>
      <c r="C963" s="34">
        <v>11</v>
      </c>
      <c r="D963" s="33" t="s">
        <v>119</v>
      </c>
    </row>
    <row r="964" spans="1:4" x14ac:dyDescent="0.3">
      <c r="A964" t="s">
        <v>278</v>
      </c>
      <c r="B964" t="s">
        <v>457</v>
      </c>
      <c r="C964" s="34">
        <v>1</v>
      </c>
      <c r="D964" s="33" t="s">
        <v>119</v>
      </c>
    </row>
    <row r="965" spans="1:4" x14ac:dyDescent="0.3">
      <c r="A965" t="s">
        <v>288</v>
      </c>
      <c r="B965" t="s">
        <v>457</v>
      </c>
      <c r="C965" s="34">
        <v>6</v>
      </c>
      <c r="D965" s="33" t="s">
        <v>119</v>
      </c>
    </row>
    <row r="966" spans="1:4" x14ac:dyDescent="0.3">
      <c r="A966" t="s">
        <v>395</v>
      </c>
      <c r="B966" t="s">
        <v>461</v>
      </c>
      <c r="C966" s="34">
        <v>13</v>
      </c>
      <c r="D966" s="33" t="s">
        <v>119</v>
      </c>
    </row>
    <row r="967" spans="1:4" x14ac:dyDescent="0.3">
      <c r="A967" t="s">
        <v>317</v>
      </c>
      <c r="B967" t="s">
        <v>457</v>
      </c>
      <c r="C967" s="34">
        <v>10</v>
      </c>
      <c r="D967" s="33" t="s">
        <v>532</v>
      </c>
    </row>
    <row r="968" spans="1:4" x14ac:dyDescent="0.3">
      <c r="A968" t="s">
        <v>455</v>
      </c>
      <c r="B968" t="s">
        <v>457</v>
      </c>
      <c r="C968" s="34">
        <v>5</v>
      </c>
      <c r="D968" s="33" t="s">
        <v>537</v>
      </c>
    </row>
    <row r="969" spans="1:4" x14ac:dyDescent="0.3">
      <c r="A969" t="s">
        <v>487</v>
      </c>
      <c r="B969" t="s">
        <v>458</v>
      </c>
      <c r="C969" s="34">
        <v>4</v>
      </c>
      <c r="D969" s="33" t="s">
        <v>119</v>
      </c>
    </row>
    <row r="970" spans="1:4" ht="15" thickBot="1" x14ac:dyDescent="0.35">
      <c r="A970" t="s">
        <v>490</v>
      </c>
      <c r="B970" t="s">
        <v>457</v>
      </c>
      <c r="C970" s="34">
        <v>1</v>
      </c>
      <c r="D970" s="33" t="s">
        <v>534</v>
      </c>
    </row>
    <row r="971" spans="1:4" x14ac:dyDescent="0.3">
      <c r="A971" s="25" t="s">
        <v>463</v>
      </c>
      <c r="B971" s="22"/>
      <c r="C971" s="23">
        <f>SUM(C934:C970)</f>
        <v>307</v>
      </c>
      <c r="D971" s="22"/>
    </row>
    <row r="973" spans="1:4" x14ac:dyDescent="0.3">
      <c r="A973" s="32" t="s">
        <v>538</v>
      </c>
      <c r="B973" s="32"/>
      <c r="C973" s="32"/>
      <c r="D973" s="32"/>
    </row>
    <row r="974" spans="1:4" x14ac:dyDescent="0.3">
      <c r="A974" t="s">
        <v>483</v>
      </c>
      <c r="B974" t="s">
        <v>461</v>
      </c>
      <c r="C974" s="34">
        <v>2</v>
      </c>
      <c r="D974" s="33" t="s">
        <v>539</v>
      </c>
    </row>
    <row r="975" spans="1:4" x14ac:dyDescent="0.3">
      <c r="A975" t="s">
        <v>132</v>
      </c>
      <c r="B975" t="s">
        <v>457</v>
      </c>
      <c r="C975" s="34">
        <v>39</v>
      </c>
      <c r="D975" s="33" t="s">
        <v>119</v>
      </c>
    </row>
    <row r="976" spans="1:4" x14ac:dyDescent="0.3">
      <c r="A976" t="s">
        <v>130</v>
      </c>
      <c r="B976" t="s">
        <v>457</v>
      </c>
      <c r="C976" s="34">
        <v>13</v>
      </c>
      <c r="D976" s="33" t="s">
        <v>119</v>
      </c>
    </row>
    <row r="977" spans="1:4" x14ac:dyDescent="0.3">
      <c r="A977" t="s">
        <v>133</v>
      </c>
      <c r="B977" t="s">
        <v>457</v>
      </c>
      <c r="C977" s="34">
        <v>10</v>
      </c>
      <c r="D977" s="33" t="s">
        <v>119</v>
      </c>
    </row>
    <row r="978" spans="1:4" x14ac:dyDescent="0.3">
      <c r="A978" t="s">
        <v>540</v>
      </c>
      <c r="B978" t="s">
        <v>458</v>
      </c>
      <c r="C978" s="34">
        <v>2</v>
      </c>
      <c r="D978" s="33" t="s">
        <v>119</v>
      </c>
    </row>
    <row r="979" spans="1:4" x14ac:dyDescent="0.3">
      <c r="A979" t="s">
        <v>258</v>
      </c>
      <c r="B979" t="s">
        <v>457</v>
      </c>
      <c r="C979" s="34">
        <v>2</v>
      </c>
      <c r="D979" s="33" t="s">
        <v>119</v>
      </c>
    </row>
    <row r="980" spans="1:4" x14ac:dyDescent="0.3">
      <c r="A980" t="s">
        <v>152</v>
      </c>
      <c r="B980" t="s">
        <v>457</v>
      </c>
      <c r="C980" s="34">
        <v>85</v>
      </c>
      <c r="D980" s="33" t="s">
        <v>119</v>
      </c>
    </row>
    <row r="981" spans="1:4" x14ac:dyDescent="0.3">
      <c r="A981" t="s">
        <v>474</v>
      </c>
      <c r="B981" t="s">
        <v>461</v>
      </c>
      <c r="C981" s="34">
        <v>1</v>
      </c>
      <c r="D981" s="33" t="s">
        <v>119</v>
      </c>
    </row>
    <row r="982" spans="1:4" x14ac:dyDescent="0.3">
      <c r="A982" t="s">
        <v>136</v>
      </c>
      <c r="B982" t="s">
        <v>457</v>
      </c>
      <c r="C982" s="34">
        <v>12</v>
      </c>
      <c r="D982" s="33" t="s">
        <v>119</v>
      </c>
    </row>
    <row r="983" spans="1:4" x14ac:dyDescent="0.3">
      <c r="A983" t="s">
        <v>138</v>
      </c>
      <c r="B983" t="s">
        <v>457</v>
      </c>
      <c r="C983" s="34">
        <v>19</v>
      </c>
      <c r="D983" s="33" t="s">
        <v>119</v>
      </c>
    </row>
    <row r="984" spans="1:4" x14ac:dyDescent="0.3">
      <c r="A984" t="s">
        <v>147</v>
      </c>
      <c r="B984" t="s">
        <v>457</v>
      </c>
      <c r="C984" s="34">
        <v>1</v>
      </c>
      <c r="D984" s="33" t="s">
        <v>119</v>
      </c>
    </row>
    <row r="985" spans="1:4" x14ac:dyDescent="0.3">
      <c r="A985" t="s">
        <v>207</v>
      </c>
      <c r="B985" t="s">
        <v>457</v>
      </c>
      <c r="C985" s="34">
        <v>3</v>
      </c>
      <c r="D985" s="33" t="s">
        <v>119</v>
      </c>
    </row>
    <row r="986" spans="1:4" x14ac:dyDescent="0.3">
      <c r="A986" t="s">
        <v>208</v>
      </c>
      <c r="B986" t="s">
        <v>457</v>
      </c>
      <c r="C986" s="34">
        <v>10</v>
      </c>
      <c r="D986" s="33" t="s">
        <v>119</v>
      </c>
    </row>
    <row r="987" spans="1:4" x14ac:dyDescent="0.3">
      <c r="A987" t="s">
        <v>490</v>
      </c>
      <c r="B987" t="s">
        <v>458</v>
      </c>
      <c r="C987" s="34">
        <v>18</v>
      </c>
      <c r="D987" s="33" t="s">
        <v>541</v>
      </c>
    </row>
    <row r="988" spans="1:4" x14ac:dyDescent="0.3">
      <c r="A988" t="s">
        <v>300</v>
      </c>
      <c r="B988" t="s">
        <v>457</v>
      </c>
      <c r="C988" s="34">
        <v>3</v>
      </c>
      <c r="D988" s="33" t="s">
        <v>542</v>
      </c>
    </row>
    <row r="989" spans="1:4" x14ac:dyDescent="0.3">
      <c r="A989" t="s">
        <v>153</v>
      </c>
      <c r="B989" t="s">
        <v>457</v>
      </c>
      <c r="C989" s="34">
        <v>17</v>
      </c>
      <c r="D989" s="33" t="s">
        <v>119</v>
      </c>
    </row>
    <row r="990" spans="1:4" x14ac:dyDescent="0.3">
      <c r="A990" t="s">
        <v>168</v>
      </c>
      <c r="B990" t="s">
        <v>457</v>
      </c>
      <c r="C990" s="34">
        <v>10</v>
      </c>
      <c r="D990" s="33" t="s">
        <v>119</v>
      </c>
    </row>
    <row r="991" spans="1:4" x14ac:dyDescent="0.3">
      <c r="A991" t="s">
        <v>451</v>
      </c>
      <c r="B991" t="s">
        <v>458</v>
      </c>
      <c r="C991" s="34">
        <v>7</v>
      </c>
      <c r="D991" s="33" t="s">
        <v>119</v>
      </c>
    </row>
    <row r="992" spans="1:4" x14ac:dyDescent="0.3">
      <c r="A992" t="s">
        <v>302</v>
      </c>
      <c r="B992" t="s">
        <v>457</v>
      </c>
      <c r="C992" s="34">
        <v>1</v>
      </c>
      <c r="D992" s="33" t="s">
        <v>119</v>
      </c>
    </row>
    <row r="993" spans="1:4" x14ac:dyDescent="0.3">
      <c r="A993" t="s">
        <v>409</v>
      </c>
      <c r="B993" t="s">
        <v>456</v>
      </c>
      <c r="C993" s="34">
        <v>4</v>
      </c>
      <c r="D993" s="33" t="s">
        <v>119</v>
      </c>
    </row>
    <row r="994" spans="1:4" x14ac:dyDescent="0.3">
      <c r="A994" t="s">
        <v>431</v>
      </c>
      <c r="B994" t="s">
        <v>456</v>
      </c>
      <c r="C994" s="34">
        <v>8</v>
      </c>
      <c r="D994" s="33" t="s">
        <v>119</v>
      </c>
    </row>
    <row r="995" spans="1:4" x14ac:dyDescent="0.3">
      <c r="A995" t="s">
        <v>120</v>
      </c>
      <c r="B995" t="s">
        <v>457</v>
      </c>
      <c r="C995" s="34">
        <v>2</v>
      </c>
      <c r="D995" s="33" t="s">
        <v>119</v>
      </c>
    </row>
    <row r="996" spans="1:4" x14ac:dyDescent="0.3">
      <c r="A996" t="s">
        <v>450</v>
      </c>
      <c r="B996" t="s">
        <v>458</v>
      </c>
      <c r="C996" s="34">
        <v>4</v>
      </c>
      <c r="D996" s="33" t="s">
        <v>119</v>
      </c>
    </row>
    <row r="997" spans="1:4" x14ac:dyDescent="0.3">
      <c r="A997" t="s">
        <v>223</v>
      </c>
      <c r="B997" t="s">
        <v>457</v>
      </c>
      <c r="C997" s="34">
        <v>1</v>
      </c>
      <c r="D997" s="33" t="s">
        <v>119</v>
      </c>
    </row>
    <row r="998" spans="1:4" x14ac:dyDescent="0.3">
      <c r="A998" t="s">
        <v>143</v>
      </c>
      <c r="B998" t="s">
        <v>457</v>
      </c>
      <c r="C998" s="34">
        <v>3</v>
      </c>
      <c r="D998" s="33" t="s">
        <v>119</v>
      </c>
    </row>
    <row r="999" spans="1:4" x14ac:dyDescent="0.3">
      <c r="A999" t="s">
        <v>385</v>
      </c>
      <c r="B999" t="s">
        <v>461</v>
      </c>
      <c r="C999" s="34">
        <v>1</v>
      </c>
      <c r="D999" s="33" t="s">
        <v>119</v>
      </c>
    </row>
    <row r="1000" spans="1:4" x14ac:dyDescent="0.3">
      <c r="A1000" t="s">
        <v>229</v>
      </c>
      <c r="B1000" t="s">
        <v>457</v>
      </c>
      <c r="C1000" s="34">
        <v>2</v>
      </c>
      <c r="D1000" s="33" t="s">
        <v>119</v>
      </c>
    </row>
    <row r="1001" spans="1:4" x14ac:dyDescent="0.3">
      <c r="A1001" t="s">
        <v>349</v>
      </c>
      <c r="B1001" t="s">
        <v>457</v>
      </c>
      <c r="C1001" s="34">
        <v>1</v>
      </c>
      <c r="D1001" s="33" t="s">
        <v>119</v>
      </c>
    </row>
    <row r="1002" spans="1:4" x14ac:dyDescent="0.3">
      <c r="A1002" t="s">
        <v>305</v>
      </c>
      <c r="B1002" t="s">
        <v>457</v>
      </c>
      <c r="C1002" s="34">
        <v>1</v>
      </c>
      <c r="D1002" s="33" t="s">
        <v>119</v>
      </c>
    </row>
    <row r="1003" spans="1:4" x14ac:dyDescent="0.3">
      <c r="A1003" t="s">
        <v>473</v>
      </c>
      <c r="B1003" t="s">
        <v>456</v>
      </c>
      <c r="C1003" s="34">
        <v>1</v>
      </c>
      <c r="D1003" s="33" t="s">
        <v>119</v>
      </c>
    </row>
    <row r="1004" spans="1:4" x14ac:dyDescent="0.3">
      <c r="A1004" t="s">
        <v>171</v>
      </c>
      <c r="B1004" t="s">
        <v>457</v>
      </c>
      <c r="C1004" s="34">
        <v>1</v>
      </c>
      <c r="D1004" s="33" t="s">
        <v>119</v>
      </c>
    </row>
    <row r="1005" spans="1:4" x14ac:dyDescent="0.3">
      <c r="A1005" t="s">
        <v>432</v>
      </c>
      <c r="B1005" t="s">
        <v>456</v>
      </c>
      <c r="C1005" s="34">
        <v>1</v>
      </c>
      <c r="D1005" s="33" t="s">
        <v>119</v>
      </c>
    </row>
    <row r="1006" spans="1:4" x14ac:dyDescent="0.3">
      <c r="A1006" t="s">
        <v>283</v>
      </c>
      <c r="B1006" t="s">
        <v>457</v>
      </c>
      <c r="C1006" s="34">
        <v>2</v>
      </c>
      <c r="D1006" s="33" t="s">
        <v>119</v>
      </c>
    </row>
    <row r="1007" spans="1:4" x14ac:dyDescent="0.3">
      <c r="A1007" t="s">
        <v>435</v>
      </c>
      <c r="B1007" t="s">
        <v>456</v>
      </c>
      <c r="C1007" s="34">
        <v>5</v>
      </c>
      <c r="D1007" s="33" t="s">
        <v>119</v>
      </c>
    </row>
    <row r="1008" spans="1:4" x14ac:dyDescent="0.3">
      <c r="A1008" t="s">
        <v>226</v>
      </c>
      <c r="B1008" t="s">
        <v>457</v>
      </c>
      <c r="C1008" s="34">
        <v>1</v>
      </c>
      <c r="D1008" s="33" t="s">
        <v>119</v>
      </c>
    </row>
    <row r="1009" spans="1:4" x14ac:dyDescent="0.3">
      <c r="A1009" t="s">
        <v>308</v>
      </c>
      <c r="B1009" t="s">
        <v>457</v>
      </c>
      <c r="C1009" s="34">
        <v>4</v>
      </c>
      <c r="D1009" s="33" t="s">
        <v>119</v>
      </c>
    </row>
    <row r="1010" spans="1:4" x14ac:dyDescent="0.3">
      <c r="A1010" t="s">
        <v>309</v>
      </c>
      <c r="B1010" t="s">
        <v>457</v>
      </c>
      <c r="C1010" s="34">
        <v>1</v>
      </c>
      <c r="D1010" s="33" t="s">
        <v>119</v>
      </c>
    </row>
    <row r="1011" spans="1:4" x14ac:dyDescent="0.3">
      <c r="A1011" t="s">
        <v>275</v>
      </c>
      <c r="B1011" t="s">
        <v>457</v>
      </c>
      <c r="C1011" s="34">
        <v>1</v>
      </c>
      <c r="D1011" s="33" t="s">
        <v>119</v>
      </c>
    </row>
    <row r="1012" spans="1:4" x14ac:dyDescent="0.3">
      <c r="A1012" t="s">
        <v>293</v>
      </c>
      <c r="B1012" t="s">
        <v>457</v>
      </c>
      <c r="C1012" s="34">
        <v>2</v>
      </c>
      <c r="D1012" s="33" t="s">
        <v>543</v>
      </c>
    </row>
    <row r="1013" spans="1:4" x14ac:dyDescent="0.3">
      <c r="A1013" t="s">
        <v>312</v>
      </c>
      <c r="B1013" t="s">
        <v>457</v>
      </c>
      <c r="C1013" s="34">
        <v>1</v>
      </c>
      <c r="D1013" s="33" t="s">
        <v>119</v>
      </c>
    </row>
    <row r="1014" spans="1:4" x14ac:dyDescent="0.3">
      <c r="A1014" t="s">
        <v>201</v>
      </c>
      <c r="B1014" t="s">
        <v>457</v>
      </c>
      <c r="C1014" s="34">
        <v>3</v>
      </c>
      <c r="D1014" s="33" t="s">
        <v>119</v>
      </c>
    </row>
    <row r="1015" spans="1:4" x14ac:dyDescent="0.3">
      <c r="A1015" t="s">
        <v>284</v>
      </c>
      <c r="B1015" t="s">
        <v>457</v>
      </c>
      <c r="C1015" s="34">
        <v>1</v>
      </c>
      <c r="D1015" s="33" t="s">
        <v>119</v>
      </c>
    </row>
    <row r="1016" spans="1:4" x14ac:dyDescent="0.3">
      <c r="A1016" t="s">
        <v>343</v>
      </c>
      <c r="B1016" t="s">
        <v>457</v>
      </c>
      <c r="C1016" s="34">
        <v>14</v>
      </c>
      <c r="D1016" s="33" t="s">
        <v>119</v>
      </c>
    </row>
    <row r="1017" spans="1:4" x14ac:dyDescent="0.3">
      <c r="A1017" t="s">
        <v>438</v>
      </c>
      <c r="B1017" t="s">
        <v>456</v>
      </c>
      <c r="C1017" s="34">
        <v>1</v>
      </c>
      <c r="D1017" s="33" t="s">
        <v>119</v>
      </c>
    </row>
    <row r="1018" spans="1:4" x14ac:dyDescent="0.3">
      <c r="A1018" t="s">
        <v>150</v>
      </c>
      <c r="B1018" t="s">
        <v>457</v>
      </c>
      <c r="C1018" s="34">
        <v>5</v>
      </c>
      <c r="D1018" s="33" t="s">
        <v>119</v>
      </c>
    </row>
    <row r="1019" spans="1:4" x14ac:dyDescent="0.3">
      <c r="A1019" t="s">
        <v>285</v>
      </c>
      <c r="B1019" t="s">
        <v>457</v>
      </c>
      <c r="C1019" s="34">
        <v>2</v>
      </c>
      <c r="D1019" s="33" t="s">
        <v>119</v>
      </c>
    </row>
    <row r="1020" spans="1:4" x14ac:dyDescent="0.3">
      <c r="A1020" t="s">
        <v>286</v>
      </c>
      <c r="B1020" t="s">
        <v>457</v>
      </c>
      <c r="C1020" s="34">
        <v>1</v>
      </c>
      <c r="D1020" s="33" t="s">
        <v>119</v>
      </c>
    </row>
    <row r="1021" spans="1:4" x14ac:dyDescent="0.3">
      <c r="A1021" t="s">
        <v>204</v>
      </c>
      <c r="B1021" t="s">
        <v>457</v>
      </c>
      <c r="C1021" s="34">
        <v>1</v>
      </c>
      <c r="D1021" s="33" t="s">
        <v>119</v>
      </c>
    </row>
    <row r="1022" spans="1:4" x14ac:dyDescent="0.3">
      <c r="A1022" t="s">
        <v>288</v>
      </c>
      <c r="B1022" t="s">
        <v>457</v>
      </c>
      <c r="C1022" s="34">
        <v>2</v>
      </c>
      <c r="D1022" s="33" t="s">
        <v>119</v>
      </c>
    </row>
    <row r="1023" spans="1:4" x14ac:dyDescent="0.3">
      <c r="A1023" t="s">
        <v>394</v>
      </c>
      <c r="B1023" t="s">
        <v>461</v>
      </c>
      <c r="C1023" s="34">
        <v>1</v>
      </c>
      <c r="D1023" s="33" t="s">
        <v>119</v>
      </c>
    </row>
    <row r="1024" spans="1:4" x14ac:dyDescent="0.3">
      <c r="A1024" t="s">
        <v>395</v>
      </c>
      <c r="B1024" t="s">
        <v>461</v>
      </c>
      <c r="C1024" s="34">
        <v>5</v>
      </c>
      <c r="D1024" s="33" t="s">
        <v>119</v>
      </c>
    </row>
    <row r="1025" spans="1:4" x14ac:dyDescent="0.3">
      <c r="A1025" t="s">
        <v>174</v>
      </c>
      <c r="B1025" t="s">
        <v>457</v>
      </c>
      <c r="C1025" s="34">
        <v>1</v>
      </c>
      <c r="D1025" s="33" t="s">
        <v>119</v>
      </c>
    </row>
    <row r="1026" spans="1:4" ht="15" thickBot="1" x14ac:dyDescent="0.35">
      <c r="A1026" t="s">
        <v>317</v>
      </c>
      <c r="B1026" t="s">
        <v>457</v>
      </c>
      <c r="C1026" s="34">
        <v>3</v>
      </c>
      <c r="D1026" s="33" t="s">
        <v>535</v>
      </c>
    </row>
    <row r="1027" spans="1:4" x14ac:dyDescent="0.3">
      <c r="A1027" s="25" t="s">
        <v>463</v>
      </c>
      <c r="B1027" s="22"/>
      <c r="C1027" s="23">
        <f>SUM(C974:C1026)</f>
        <v>342</v>
      </c>
      <c r="D1027" s="22"/>
    </row>
    <row r="1029" spans="1:4" x14ac:dyDescent="0.3">
      <c r="A1029" s="32" t="s">
        <v>544</v>
      </c>
      <c r="B1029" s="32"/>
      <c r="C1029" s="32"/>
      <c r="D1029" s="32"/>
    </row>
    <row r="1030" spans="1:4" x14ac:dyDescent="0.3">
      <c r="A1030" t="s">
        <v>133</v>
      </c>
      <c r="B1030" t="s">
        <v>457</v>
      </c>
      <c r="C1030" s="34">
        <v>19</v>
      </c>
      <c r="D1030" s="33" t="s">
        <v>119</v>
      </c>
    </row>
    <row r="1031" spans="1:4" x14ac:dyDescent="0.3">
      <c r="A1031" t="s">
        <v>218</v>
      </c>
      <c r="B1031" t="s">
        <v>457</v>
      </c>
      <c r="C1031" s="34">
        <v>2</v>
      </c>
      <c r="D1031" s="33" t="s">
        <v>119</v>
      </c>
    </row>
    <row r="1032" spans="1:4" x14ac:dyDescent="0.3">
      <c r="A1032" t="s">
        <v>258</v>
      </c>
      <c r="B1032" t="s">
        <v>457</v>
      </c>
      <c r="C1032" s="34">
        <v>5</v>
      </c>
      <c r="D1032" s="33" t="s">
        <v>119</v>
      </c>
    </row>
    <row r="1033" spans="1:4" x14ac:dyDescent="0.3">
      <c r="A1033" t="s">
        <v>382</v>
      </c>
      <c r="B1033" t="s">
        <v>461</v>
      </c>
      <c r="C1033" s="34">
        <v>1</v>
      </c>
      <c r="D1033" s="33" t="s">
        <v>119</v>
      </c>
    </row>
    <row r="1034" spans="1:4" x14ac:dyDescent="0.3">
      <c r="A1034" t="s">
        <v>138</v>
      </c>
      <c r="B1034" t="s">
        <v>457</v>
      </c>
      <c r="C1034" s="34">
        <v>153</v>
      </c>
      <c r="D1034" s="33" t="s">
        <v>119</v>
      </c>
    </row>
    <row r="1035" spans="1:4" x14ac:dyDescent="0.3">
      <c r="A1035" t="s">
        <v>208</v>
      </c>
      <c r="B1035" t="s">
        <v>457</v>
      </c>
      <c r="C1035" s="34">
        <v>6</v>
      </c>
      <c r="D1035" s="33" t="s">
        <v>119</v>
      </c>
    </row>
    <row r="1036" spans="1:4" x14ac:dyDescent="0.3">
      <c r="A1036" t="s">
        <v>300</v>
      </c>
      <c r="B1036" t="s">
        <v>457</v>
      </c>
      <c r="C1036" s="34">
        <v>1</v>
      </c>
      <c r="D1036" s="33" t="s">
        <v>545</v>
      </c>
    </row>
    <row r="1037" spans="1:4" x14ac:dyDescent="0.3">
      <c r="A1037" t="s">
        <v>157</v>
      </c>
      <c r="B1037" t="s">
        <v>457</v>
      </c>
      <c r="C1037" s="34">
        <v>5</v>
      </c>
      <c r="D1037" s="33" t="s">
        <v>119</v>
      </c>
    </row>
    <row r="1038" spans="1:4" x14ac:dyDescent="0.3">
      <c r="A1038" t="s">
        <v>161</v>
      </c>
      <c r="B1038" t="s">
        <v>457</v>
      </c>
      <c r="C1038" s="34">
        <v>1</v>
      </c>
      <c r="D1038" s="33" t="s">
        <v>119</v>
      </c>
    </row>
    <row r="1039" spans="1:4" x14ac:dyDescent="0.3">
      <c r="A1039" t="s">
        <v>302</v>
      </c>
      <c r="B1039" t="s">
        <v>457</v>
      </c>
      <c r="C1039" s="34">
        <v>4</v>
      </c>
      <c r="D1039" s="33" t="s">
        <v>546</v>
      </c>
    </row>
    <row r="1040" spans="1:4" x14ac:dyDescent="0.3">
      <c r="A1040" t="s">
        <v>409</v>
      </c>
      <c r="B1040" t="s">
        <v>456</v>
      </c>
      <c r="C1040" s="34">
        <v>1</v>
      </c>
      <c r="D1040" s="33" t="s">
        <v>119</v>
      </c>
    </row>
    <row r="1041" spans="1:4" x14ac:dyDescent="0.3">
      <c r="A1041" t="s">
        <v>212</v>
      </c>
      <c r="B1041" t="s">
        <v>457</v>
      </c>
      <c r="C1041" s="34">
        <v>1</v>
      </c>
      <c r="D1041" s="33" t="s">
        <v>119</v>
      </c>
    </row>
    <row r="1042" spans="1:4" x14ac:dyDescent="0.3">
      <c r="A1042" t="s">
        <v>468</v>
      </c>
      <c r="B1042" t="s">
        <v>458</v>
      </c>
      <c r="C1042" s="34">
        <v>2</v>
      </c>
      <c r="D1042" s="33" t="s">
        <v>119</v>
      </c>
    </row>
    <row r="1043" spans="1:4" x14ac:dyDescent="0.3">
      <c r="A1043" t="s">
        <v>169</v>
      </c>
      <c r="B1043" t="s">
        <v>457</v>
      </c>
      <c r="C1043" s="34">
        <v>4</v>
      </c>
      <c r="D1043" s="33" t="s">
        <v>119</v>
      </c>
    </row>
    <row r="1044" spans="1:4" x14ac:dyDescent="0.3">
      <c r="A1044" t="s">
        <v>304</v>
      </c>
      <c r="B1044" t="s">
        <v>457</v>
      </c>
      <c r="C1044" s="34">
        <v>2</v>
      </c>
      <c r="D1044" s="33" t="s">
        <v>119</v>
      </c>
    </row>
    <row r="1045" spans="1:4" x14ac:dyDescent="0.3">
      <c r="A1045" t="s">
        <v>229</v>
      </c>
      <c r="B1045" t="s">
        <v>457</v>
      </c>
      <c r="C1045" s="34">
        <v>2</v>
      </c>
      <c r="D1045" s="33" t="s">
        <v>119</v>
      </c>
    </row>
    <row r="1046" spans="1:4" x14ac:dyDescent="0.3">
      <c r="A1046" t="s">
        <v>283</v>
      </c>
      <c r="B1046" t="s">
        <v>457</v>
      </c>
      <c r="C1046" s="34">
        <v>1</v>
      </c>
      <c r="D1046" s="33" t="s">
        <v>119</v>
      </c>
    </row>
    <row r="1047" spans="1:4" x14ac:dyDescent="0.3">
      <c r="A1047" t="s">
        <v>233</v>
      </c>
      <c r="B1047" t="s">
        <v>457</v>
      </c>
      <c r="C1047" s="34">
        <v>1</v>
      </c>
      <c r="D1047" s="33" t="s">
        <v>119</v>
      </c>
    </row>
    <row r="1048" spans="1:4" x14ac:dyDescent="0.3">
      <c r="A1048" t="s">
        <v>364</v>
      </c>
      <c r="B1048" t="s">
        <v>457</v>
      </c>
      <c r="C1048" s="34">
        <v>4</v>
      </c>
      <c r="D1048" s="33" t="s">
        <v>119</v>
      </c>
    </row>
    <row r="1049" spans="1:4" x14ac:dyDescent="0.3">
      <c r="A1049" t="s">
        <v>308</v>
      </c>
      <c r="B1049" t="s">
        <v>457</v>
      </c>
      <c r="C1049" s="34">
        <v>19</v>
      </c>
      <c r="D1049" s="33" t="s">
        <v>119</v>
      </c>
    </row>
    <row r="1050" spans="1:4" x14ac:dyDescent="0.3">
      <c r="A1050" t="s">
        <v>402</v>
      </c>
      <c r="B1050" t="s">
        <v>456</v>
      </c>
      <c r="C1050" s="34">
        <v>1</v>
      </c>
      <c r="D1050" s="33" t="s">
        <v>119</v>
      </c>
    </row>
    <row r="1051" spans="1:4" x14ac:dyDescent="0.3">
      <c r="A1051" t="s">
        <v>293</v>
      </c>
      <c r="B1051" t="s">
        <v>457</v>
      </c>
      <c r="C1051" s="34">
        <v>1</v>
      </c>
      <c r="D1051" s="33" t="s">
        <v>529</v>
      </c>
    </row>
    <row r="1052" spans="1:4" x14ac:dyDescent="0.3">
      <c r="A1052" t="s">
        <v>380</v>
      </c>
      <c r="B1052" t="s">
        <v>461</v>
      </c>
      <c r="C1052" s="34">
        <v>1</v>
      </c>
      <c r="D1052" s="33" t="s">
        <v>119</v>
      </c>
    </row>
    <row r="1053" spans="1:4" x14ac:dyDescent="0.3">
      <c r="A1053" t="s">
        <v>343</v>
      </c>
      <c r="B1053" t="s">
        <v>457</v>
      </c>
      <c r="C1053" s="34">
        <v>7</v>
      </c>
      <c r="D1053" s="33" t="s">
        <v>119</v>
      </c>
    </row>
    <row r="1054" spans="1:4" x14ac:dyDescent="0.3">
      <c r="A1054" t="s">
        <v>198</v>
      </c>
      <c r="B1054" t="s">
        <v>457</v>
      </c>
      <c r="C1054" s="34">
        <v>2</v>
      </c>
      <c r="D1054" s="33" t="s">
        <v>119</v>
      </c>
    </row>
    <row r="1055" spans="1:4" x14ac:dyDescent="0.3">
      <c r="A1055" t="s">
        <v>391</v>
      </c>
      <c r="B1055" t="s">
        <v>461</v>
      </c>
      <c r="C1055" s="34">
        <v>13</v>
      </c>
      <c r="D1055" s="33" t="s">
        <v>119</v>
      </c>
    </row>
    <row r="1056" spans="1:4" x14ac:dyDescent="0.3">
      <c r="A1056" t="s">
        <v>411</v>
      </c>
      <c r="B1056" t="s">
        <v>456</v>
      </c>
      <c r="C1056" s="34">
        <v>3</v>
      </c>
      <c r="D1056" s="33" t="s">
        <v>119</v>
      </c>
    </row>
    <row r="1057" spans="1:4" x14ac:dyDescent="0.3">
      <c r="A1057" t="s">
        <v>321</v>
      </c>
      <c r="B1057" t="s">
        <v>457</v>
      </c>
      <c r="C1057" s="34">
        <v>1</v>
      </c>
      <c r="D1057" s="33" t="s">
        <v>119</v>
      </c>
    </row>
    <row r="1058" spans="1:4" x14ac:dyDescent="0.3">
      <c r="A1058" t="s">
        <v>455</v>
      </c>
      <c r="B1058" t="s">
        <v>457</v>
      </c>
      <c r="C1058" s="34">
        <v>1</v>
      </c>
      <c r="D1058" s="33" t="s">
        <v>518</v>
      </c>
    </row>
    <row r="1059" spans="1:4" x14ac:dyDescent="0.3">
      <c r="A1059" t="s">
        <v>395</v>
      </c>
      <c r="B1059" t="s">
        <v>461</v>
      </c>
      <c r="C1059" s="34">
        <v>13</v>
      </c>
      <c r="D1059" s="33" t="s">
        <v>119</v>
      </c>
    </row>
    <row r="1060" spans="1:4" x14ac:dyDescent="0.3">
      <c r="A1060" t="s">
        <v>174</v>
      </c>
      <c r="B1060" t="s">
        <v>457</v>
      </c>
      <c r="C1060" s="34">
        <v>11</v>
      </c>
      <c r="D1060" s="33" t="s">
        <v>119</v>
      </c>
    </row>
    <row r="1061" spans="1:4" x14ac:dyDescent="0.3">
      <c r="A1061" t="s">
        <v>317</v>
      </c>
      <c r="B1061" t="s">
        <v>457</v>
      </c>
      <c r="C1061" s="34">
        <v>8</v>
      </c>
      <c r="D1061" s="33" t="s">
        <v>532</v>
      </c>
    </row>
    <row r="1062" spans="1:4" ht="15" thickBot="1" x14ac:dyDescent="0.35">
      <c r="A1062" t="s">
        <v>188</v>
      </c>
      <c r="B1062" t="s">
        <v>457</v>
      </c>
      <c r="C1062" s="34">
        <v>5</v>
      </c>
      <c r="D1062" s="33" t="s">
        <v>119</v>
      </c>
    </row>
    <row r="1063" spans="1:4" x14ac:dyDescent="0.3">
      <c r="A1063" s="25" t="s">
        <v>463</v>
      </c>
      <c r="B1063" s="22"/>
      <c r="C1063" s="23">
        <f>SUM(C1030:C1062)</f>
        <v>301</v>
      </c>
      <c r="D1063" s="22"/>
    </row>
    <row r="1065" spans="1:4" x14ac:dyDescent="0.3">
      <c r="A1065" s="32" t="s">
        <v>547</v>
      </c>
      <c r="B1065" s="32"/>
      <c r="C1065" s="32"/>
      <c r="D1065" s="32"/>
    </row>
    <row r="1066" spans="1:4" x14ac:dyDescent="0.3">
      <c r="A1066" t="s">
        <v>483</v>
      </c>
      <c r="B1066" t="s">
        <v>458</v>
      </c>
      <c r="C1066" s="34">
        <v>1</v>
      </c>
      <c r="D1066" s="33" t="s">
        <v>119</v>
      </c>
    </row>
    <row r="1067" spans="1:4" x14ac:dyDescent="0.3">
      <c r="A1067" t="s">
        <v>130</v>
      </c>
      <c r="B1067" t="s">
        <v>457</v>
      </c>
      <c r="C1067" s="34">
        <v>1</v>
      </c>
      <c r="D1067" s="33" t="s">
        <v>119</v>
      </c>
    </row>
    <row r="1068" spans="1:4" x14ac:dyDescent="0.3">
      <c r="A1068" t="s">
        <v>133</v>
      </c>
      <c r="B1068" t="s">
        <v>457</v>
      </c>
      <c r="C1068" s="34">
        <v>42</v>
      </c>
      <c r="D1068" s="33" t="s">
        <v>119</v>
      </c>
    </row>
    <row r="1069" spans="1:4" x14ac:dyDescent="0.3">
      <c r="A1069" t="s">
        <v>346</v>
      </c>
      <c r="B1069" t="s">
        <v>457</v>
      </c>
      <c r="C1069" s="34">
        <v>3</v>
      </c>
      <c r="D1069" s="33" t="s">
        <v>119</v>
      </c>
    </row>
    <row r="1070" spans="1:4" x14ac:dyDescent="0.3">
      <c r="A1070" t="s">
        <v>218</v>
      </c>
      <c r="B1070" t="s">
        <v>457</v>
      </c>
      <c r="C1070" s="34">
        <v>1</v>
      </c>
      <c r="D1070" s="33" t="s">
        <v>119</v>
      </c>
    </row>
    <row r="1071" spans="1:4" x14ac:dyDescent="0.3">
      <c r="A1071" t="s">
        <v>258</v>
      </c>
      <c r="B1071" t="s">
        <v>457</v>
      </c>
      <c r="C1071" s="34">
        <v>11</v>
      </c>
      <c r="D1071" s="33" t="s">
        <v>119</v>
      </c>
    </row>
    <row r="1072" spans="1:4" x14ac:dyDescent="0.3">
      <c r="A1072" t="s">
        <v>382</v>
      </c>
      <c r="B1072" t="s">
        <v>461</v>
      </c>
      <c r="C1072" s="34">
        <v>2</v>
      </c>
      <c r="D1072" s="33" t="s">
        <v>119</v>
      </c>
    </row>
    <row r="1073" spans="1:4" x14ac:dyDescent="0.3">
      <c r="A1073" t="s">
        <v>474</v>
      </c>
      <c r="B1073" t="s">
        <v>461</v>
      </c>
      <c r="C1073" s="34">
        <v>1</v>
      </c>
      <c r="D1073" s="33" t="s">
        <v>119</v>
      </c>
    </row>
    <row r="1074" spans="1:4" x14ac:dyDescent="0.3">
      <c r="A1074" t="s">
        <v>138</v>
      </c>
      <c r="B1074" t="s">
        <v>457</v>
      </c>
      <c r="C1074" s="34">
        <v>27</v>
      </c>
      <c r="D1074" s="33" t="s">
        <v>119</v>
      </c>
    </row>
    <row r="1075" spans="1:4" x14ac:dyDescent="0.3">
      <c r="A1075" t="s">
        <v>207</v>
      </c>
      <c r="B1075" t="s">
        <v>457</v>
      </c>
      <c r="C1075" s="34">
        <v>1</v>
      </c>
      <c r="D1075" s="33" t="s">
        <v>119</v>
      </c>
    </row>
    <row r="1076" spans="1:4" x14ac:dyDescent="0.3">
      <c r="A1076" t="s">
        <v>208</v>
      </c>
      <c r="B1076" t="s">
        <v>457</v>
      </c>
      <c r="C1076" s="34">
        <v>7</v>
      </c>
      <c r="D1076" s="33" t="s">
        <v>119</v>
      </c>
    </row>
    <row r="1077" spans="1:4" x14ac:dyDescent="0.3">
      <c r="A1077" t="s">
        <v>219</v>
      </c>
      <c r="B1077" t="s">
        <v>457</v>
      </c>
      <c r="C1077" s="34">
        <v>1</v>
      </c>
      <c r="D1077" s="33" t="s">
        <v>119</v>
      </c>
    </row>
    <row r="1078" spans="1:4" x14ac:dyDescent="0.3">
      <c r="A1078" t="s">
        <v>300</v>
      </c>
      <c r="B1078" t="s">
        <v>457</v>
      </c>
      <c r="C1078" s="34">
        <v>1</v>
      </c>
      <c r="D1078" s="33" t="s">
        <v>545</v>
      </c>
    </row>
    <row r="1079" spans="1:4" x14ac:dyDescent="0.3">
      <c r="A1079" t="s">
        <v>155</v>
      </c>
      <c r="B1079" t="s">
        <v>457</v>
      </c>
      <c r="C1079" s="34">
        <v>6</v>
      </c>
      <c r="D1079" s="33" t="s">
        <v>119</v>
      </c>
    </row>
    <row r="1080" spans="1:4" x14ac:dyDescent="0.3">
      <c r="A1080" t="s">
        <v>430</v>
      </c>
      <c r="B1080" t="s">
        <v>456</v>
      </c>
      <c r="C1080" s="34">
        <v>1</v>
      </c>
      <c r="D1080" s="33" t="s">
        <v>119</v>
      </c>
    </row>
    <row r="1081" spans="1:4" x14ac:dyDescent="0.3">
      <c r="A1081" t="s">
        <v>160</v>
      </c>
      <c r="B1081" t="s">
        <v>457</v>
      </c>
      <c r="C1081" s="34">
        <v>13</v>
      </c>
      <c r="D1081" s="33" t="s">
        <v>119</v>
      </c>
    </row>
    <row r="1082" spans="1:4" x14ac:dyDescent="0.3">
      <c r="A1082" t="s">
        <v>212</v>
      </c>
      <c r="B1082" t="s">
        <v>457</v>
      </c>
      <c r="C1082" s="34">
        <v>7</v>
      </c>
      <c r="D1082" s="33" t="s">
        <v>119</v>
      </c>
    </row>
    <row r="1083" spans="1:4" x14ac:dyDescent="0.3">
      <c r="A1083" t="s">
        <v>468</v>
      </c>
      <c r="B1083" t="s">
        <v>458</v>
      </c>
      <c r="C1083" s="34">
        <v>5</v>
      </c>
      <c r="D1083" s="33" t="s">
        <v>119</v>
      </c>
    </row>
    <row r="1084" spans="1:4" x14ac:dyDescent="0.3">
      <c r="A1084" t="s">
        <v>335</v>
      </c>
      <c r="B1084" t="s">
        <v>457</v>
      </c>
      <c r="C1084" s="34">
        <v>2</v>
      </c>
      <c r="D1084" s="33" t="s">
        <v>119</v>
      </c>
    </row>
    <row r="1085" spans="1:4" x14ac:dyDescent="0.3">
      <c r="A1085" t="s">
        <v>169</v>
      </c>
      <c r="B1085" t="s">
        <v>457</v>
      </c>
      <c r="C1085" s="34">
        <v>31</v>
      </c>
      <c r="D1085" s="33" t="s">
        <v>119</v>
      </c>
    </row>
    <row r="1086" spans="1:4" x14ac:dyDescent="0.3">
      <c r="A1086" t="s">
        <v>348</v>
      </c>
      <c r="B1086" t="s">
        <v>457</v>
      </c>
      <c r="C1086" s="34">
        <v>1</v>
      </c>
      <c r="D1086" s="33" t="s">
        <v>119</v>
      </c>
    </row>
    <row r="1087" spans="1:4" x14ac:dyDescent="0.3">
      <c r="A1087" t="s">
        <v>220</v>
      </c>
      <c r="B1087" t="s">
        <v>457</v>
      </c>
      <c r="C1087" s="34">
        <v>22</v>
      </c>
      <c r="D1087" s="33" t="s">
        <v>119</v>
      </c>
    </row>
    <row r="1088" spans="1:4" x14ac:dyDescent="0.3">
      <c r="A1088" t="s">
        <v>223</v>
      </c>
      <c r="B1088" t="s">
        <v>457</v>
      </c>
      <c r="C1088" s="34">
        <v>1</v>
      </c>
      <c r="D1088" s="33" t="s">
        <v>119</v>
      </c>
    </row>
    <row r="1089" spans="1:4" x14ac:dyDescent="0.3">
      <c r="A1089" t="s">
        <v>385</v>
      </c>
      <c r="B1089" t="s">
        <v>461</v>
      </c>
      <c r="C1089" s="34">
        <v>1</v>
      </c>
      <c r="D1089" s="33" t="s">
        <v>119</v>
      </c>
    </row>
    <row r="1090" spans="1:4" x14ac:dyDescent="0.3">
      <c r="A1090" t="s">
        <v>229</v>
      </c>
      <c r="B1090" t="s">
        <v>457</v>
      </c>
      <c r="C1090" s="34">
        <v>25</v>
      </c>
      <c r="D1090" s="33" t="s">
        <v>119</v>
      </c>
    </row>
    <row r="1091" spans="1:4" x14ac:dyDescent="0.3">
      <c r="A1091" t="s">
        <v>306</v>
      </c>
      <c r="B1091" t="s">
        <v>457</v>
      </c>
      <c r="C1091" s="34">
        <v>2</v>
      </c>
      <c r="D1091" s="33" t="s">
        <v>119</v>
      </c>
    </row>
    <row r="1092" spans="1:4" x14ac:dyDescent="0.3">
      <c r="A1092" t="s">
        <v>435</v>
      </c>
      <c r="B1092" t="s">
        <v>456</v>
      </c>
      <c r="C1092" s="34">
        <v>1</v>
      </c>
      <c r="D1092" s="33" t="s">
        <v>119</v>
      </c>
    </row>
    <row r="1093" spans="1:4" x14ac:dyDescent="0.3">
      <c r="A1093" t="s">
        <v>455</v>
      </c>
      <c r="B1093" t="s">
        <v>457</v>
      </c>
      <c r="C1093" s="34">
        <v>1</v>
      </c>
      <c r="D1093" s="33" t="s">
        <v>548</v>
      </c>
    </row>
    <row r="1094" spans="1:4" x14ac:dyDescent="0.3">
      <c r="A1094" t="s">
        <v>364</v>
      </c>
      <c r="B1094" t="s">
        <v>457</v>
      </c>
      <c r="C1094" s="34">
        <v>5</v>
      </c>
      <c r="D1094" s="33" t="s">
        <v>119</v>
      </c>
    </row>
    <row r="1095" spans="1:4" x14ac:dyDescent="0.3">
      <c r="A1095" t="s">
        <v>402</v>
      </c>
      <c r="B1095" t="s">
        <v>456</v>
      </c>
      <c r="C1095" s="34">
        <v>1</v>
      </c>
      <c r="D1095" s="33" t="s">
        <v>119</v>
      </c>
    </row>
    <row r="1096" spans="1:4" x14ac:dyDescent="0.3">
      <c r="A1096" t="s">
        <v>275</v>
      </c>
      <c r="B1096" t="s">
        <v>457</v>
      </c>
      <c r="C1096" s="34">
        <v>1</v>
      </c>
      <c r="D1096" s="33" t="s">
        <v>119</v>
      </c>
    </row>
    <row r="1097" spans="1:4" x14ac:dyDescent="0.3">
      <c r="A1097" t="s">
        <v>380</v>
      </c>
      <c r="B1097" t="s">
        <v>461</v>
      </c>
      <c r="C1097" s="34">
        <v>3</v>
      </c>
      <c r="D1097" s="33" t="s">
        <v>119</v>
      </c>
    </row>
    <row r="1098" spans="1:4" x14ac:dyDescent="0.3">
      <c r="A1098" t="s">
        <v>244</v>
      </c>
      <c r="B1098" t="s">
        <v>457</v>
      </c>
      <c r="C1098" s="34">
        <v>3</v>
      </c>
      <c r="D1098" s="33" t="s">
        <v>119</v>
      </c>
    </row>
    <row r="1099" spans="1:4" x14ac:dyDescent="0.3">
      <c r="A1099" t="s">
        <v>201</v>
      </c>
      <c r="B1099" t="s">
        <v>457</v>
      </c>
      <c r="C1099" s="34">
        <v>1</v>
      </c>
      <c r="D1099" s="33" t="s">
        <v>119</v>
      </c>
    </row>
    <row r="1100" spans="1:4" x14ac:dyDescent="0.3">
      <c r="A1100" t="s">
        <v>284</v>
      </c>
      <c r="B1100" t="s">
        <v>457</v>
      </c>
      <c r="C1100" s="34">
        <v>3</v>
      </c>
      <c r="D1100" s="33" t="s">
        <v>119</v>
      </c>
    </row>
    <row r="1101" spans="1:4" x14ac:dyDescent="0.3">
      <c r="A1101" t="s">
        <v>172</v>
      </c>
      <c r="B1101" t="s">
        <v>457</v>
      </c>
      <c r="C1101" s="34">
        <v>3</v>
      </c>
      <c r="D1101" s="33" t="s">
        <v>119</v>
      </c>
    </row>
    <row r="1102" spans="1:4" x14ac:dyDescent="0.3">
      <c r="A1102" t="s">
        <v>198</v>
      </c>
      <c r="B1102" t="s">
        <v>457</v>
      </c>
      <c r="C1102" s="34">
        <v>3</v>
      </c>
      <c r="D1102" s="33" t="s">
        <v>119</v>
      </c>
    </row>
    <row r="1103" spans="1:4" x14ac:dyDescent="0.3">
      <c r="A1103" t="s">
        <v>391</v>
      </c>
      <c r="B1103" t="s">
        <v>461</v>
      </c>
      <c r="C1103" s="34">
        <v>6</v>
      </c>
      <c r="D1103" s="33" t="s">
        <v>119</v>
      </c>
    </row>
    <row r="1104" spans="1:4" x14ac:dyDescent="0.3">
      <c r="A1104" t="s">
        <v>453</v>
      </c>
      <c r="B1104" t="s">
        <v>456</v>
      </c>
      <c r="C1104" s="34">
        <v>10</v>
      </c>
      <c r="D1104" s="33" t="s">
        <v>119</v>
      </c>
    </row>
    <row r="1105" spans="1:4" x14ac:dyDescent="0.3">
      <c r="A1105" t="s">
        <v>411</v>
      </c>
      <c r="B1105" t="s">
        <v>456</v>
      </c>
      <c r="C1105" s="34">
        <v>5</v>
      </c>
      <c r="D1105" s="33" t="s">
        <v>119</v>
      </c>
    </row>
    <row r="1106" spans="1:4" x14ac:dyDescent="0.3">
      <c r="A1106" t="s">
        <v>248</v>
      </c>
      <c r="B1106" t="s">
        <v>457</v>
      </c>
      <c r="C1106" s="34">
        <v>1</v>
      </c>
      <c r="D1106" s="33" t="s">
        <v>119</v>
      </c>
    </row>
    <row r="1107" spans="1:4" x14ac:dyDescent="0.3">
      <c r="A1107" t="s">
        <v>204</v>
      </c>
      <c r="B1107" t="s">
        <v>457</v>
      </c>
      <c r="C1107" s="34">
        <v>1</v>
      </c>
      <c r="D1107" s="33" t="s">
        <v>119</v>
      </c>
    </row>
    <row r="1108" spans="1:4" x14ac:dyDescent="0.3">
      <c r="A1108" t="s">
        <v>321</v>
      </c>
      <c r="B1108" t="s">
        <v>457</v>
      </c>
      <c r="C1108" s="34">
        <v>1</v>
      </c>
      <c r="D1108" s="33" t="s">
        <v>119</v>
      </c>
    </row>
    <row r="1109" spans="1:4" x14ac:dyDescent="0.3">
      <c r="A1109" t="s">
        <v>395</v>
      </c>
      <c r="B1109" t="s">
        <v>461</v>
      </c>
      <c r="C1109" s="34">
        <v>23</v>
      </c>
      <c r="D1109" s="33" t="s">
        <v>119</v>
      </c>
    </row>
    <row r="1110" spans="1:4" x14ac:dyDescent="0.3">
      <c r="A1110" t="s">
        <v>174</v>
      </c>
      <c r="B1110" t="s">
        <v>457</v>
      </c>
      <c r="C1110" s="34">
        <v>8</v>
      </c>
      <c r="D1110" s="33" t="s">
        <v>119</v>
      </c>
    </row>
    <row r="1111" spans="1:4" x14ac:dyDescent="0.3">
      <c r="A1111" t="s">
        <v>317</v>
      </c>
      <c r="B1111" t="s">
        <v>457</v>
      </c>
      <c r="C1111" s="34">
        <v>5</v>
      </c>
      <c r="D1111" s="33" t="s">
        <v>532</v>
      </c>
    </row>
    <row r="1112" spans="1:4" x14ac:dyDescent="0.3">
      <c r="A1112" t="s">
        <v>188</v>
      </c>
      <c r="B1112" t="s">
        <v>457</v>
      </c>
      <c r="C1112" s="34">
        <v>10</v>
      </c>
      <c r="D1112" s="33" t="s">
        <v>119</v>
      </c>
    </row>
    <row r="1113" spans="1:4" x14ac:dyDescent="0.3">
      <c r="A1113" t="s">
        <v>487</v>
      </c>
      <c r="B1113" t="s">
        <v>458</v>
      </c>
      <c r="C1113" s="34">
        <v>1</v>
      </c>
      <c r="D1113" s="33" t="s">
        <v>119</v>
      </c>
    </row>
    <row r="1114" spans="1:4" x14ac:dyDescent="0.3">
      <c r="A1114" t="s">
        <v>549</v>
      </c>
      <c r="B1114" t="s">
        <v>458</v>
      </c>
      <c r="C1114" s="34">
        <v>1</v>
      </c>
      <c r="D1114" s="33" t="s">
        <v>119</v>
      </c>
    </row>
    <row r="1115" spans="1:4" ht="15" thickBot="1" x14ac:dyDescent="0.35">
      <c r="A1115" t="s">
        <v>459</v>
      </c>
      <c r="B1115" t="s">
        <v>458</v>
      </c>
      <c r="C1115" s="34">
        <v>1</v>
      </c>
      <c r="D1115" s="33" t="s">
        <v>119</v>
      </c>
    </row>
    <row r="1116" spans="1:4" x14ac:dyDescent="0.3">
      <c r="A1116" s="25" t="s">
        <v>463</v>
      </c>
      <c r="B1116" s="22"/>
      <c r="C1116" s="23">
        <f>SUM(C1066:C1115)</f>
        <v>314</v>
      </c>
      <c r="D1116" s="22"/>
    </row>
    <row r="1118" spans="1:4" x14ac:dyDescent="0.3">
      <c r="A1118" s="32" t="s">
        <v>550</v>
      </c>
      <c r="B1118" s="32"/>
      <c r="C1118" s="32"/>
      <c r="D1118" s="32"/>
    </row>
    <row r="1119" spans="1:4" x14ac:dyDescent="0.3">
      <c r="A1119" t="s">
        <v>133</v>
      </c>
      <c r="B1119" t="s">
        <v>457</v>
      </c>
      <c r="C1119" s="34">
        <v>1</v>
      </c>
      <c r="D1119" s="33" t="s">
        <v>119</v>
      </c>
    </row>
    <row r="1120" spans="1:4" x14ac:dyDescent="0.3">
      <c r="A1120" t="s">
        <v>138</v>
      </c>
      <c r="B1120" t="s">
        <v>457</v>
      </c>
      <c r="C1120" s="34">
        <v>148</v>
      </c>
      <c r="D1120" s="33" t="s">
        <v>119</v>
      </c>
    </row>
    <row r="1121" spans="1:4" x14ac:dyDescent="0.3">
      <c r="A1121" t="s">
        <v>208</v>
      </c>
      <c r="B1121" t="s">
        <v>457</v>
      </c>
      <c r="C1121" s="34">
        <v>1</v>
      </c>
      <c r="D1121" s="33" t="s">
        <v>119</v>
      </c>
    </row>
    <row r="1122" spans="1:4" x14ac:dyDescent="0.3">
      <c r="A1122" t="s">
        <v>141</v>
      </c>
      <c r="B1122" t="s">
        <v>457</v>
      </c>
      <c r="C1122" s="34">
        <v>4</v>
      </c>
      <c r="D1122" s="33" t="s">
        <v>119</v>
      </c>
    </row>
    <row r="1123" spans="1:4" x14ac:dyDescent="0.3">
      <c r="A1123" t="s">
        <v>155</v>
      </c>
      <c r="B1123" t="s">
        <v>457</v>
      </c>
      <c r="C1123" s="34">
        <v>6</v>
      </c>
      <c r="D1123" s="33" t="s">
        <v>119</v>
      </c>
    </row>
    <row r="1124" spans="1:4" x14ac:dyDescent="0.3">
      <c r="A1124" t="s">
        <v>159</v>
      </c>
      <c r="B1124" t="s">
        <v>457</v>
      </c>
      <c r="C1124" s="34">
        <v>6</v>
      </c>
      <c r="D1124" s="33" t="s">
        <v>119</v>
      </c>
    </row>
    <row r="1125" spans="1:4" x14ac:dyDescent="0.3">
      <c r="A1125" t="s">
        <v>468</v>
      </c>
      <c r="B1125" t="s">
        <v>458</v>
      </c>
      <c r="C1125" s="34">
        <v>1</v>
      </c>
      <c r="D1125" s="33" t="s">
        <v>119</v>
      </c>
    </row>
    <row r="1126" spans="1:4" x14ac:dyDescent="0.3">
      <c r="A1126" t="s">
        <v>335</v>
      </c>
      <c r="B1126" t="s">
        <v>457</v>
      </c>
      <c r="C1126" s="34">
        <v>1</v>
      </c>
      <c r="D1126" s="33" t="s">
        <v>119</v>
      </c>
    </row>
    <row r="1127" spans="1:4" x14ac:dyDescent="0.3">
      <c r="A1127" t="s">
        <v>220</v>
      </c>
      <c r="B1127" t="s">
        <v>457</v>
      </c>
      <c r="C1127" s="34">
        <v>6</v>
      </c>
      <c r="D1127" s="33" t="s">
        <v>119</v>
      </c>
    </row>
    <row r="1128" spans="1:4" x14ac:dyDescent="0.3">
      <c r="A1128" t="s">
        <v>229</v>
      </c>
      <c r="B1128" t="s">
        <v>457</v>
      </c>
      <c r="C1128" s="34">
        <v>5</v>
      </c>
      <c r="D1128" s="33" t="s">
        <v>119</v>
      </c>
    </row>
    <row r="1129" spans="1:4" x14ac:dyDescent="0.3">
      <c r="A1129" t="s">
        <v>171</v>
      </c>
      <c r="B1129" t="s">
        <v>457</v>
      </c>
      <c r="C1129" s="34">
        <v>1</v>
      </c>
      <c r="D1129" s="33" t="s">
        <v>119</v>
      </c>
    </row>
    <row r="1130" spans="1:4" x14ac:dyDescent="0.3">
      <c r="A1130" t="s">
        <v>464</v>
      </c>
      <c r="B1130" t="s">
        <v>458</v>
      </c>
      <c r="C1130" s="34">
        <v>1</v>
      </c>
      <c r="D1130" s="33" t="s">
        <v>119</v>
      </c>
    </row>
    <row r="1131" spans="1:4" x14ac:dyDescent="0.3">
      <c r="A1131" t="s">
        <v>244</v>
      </c>
      <c r="B1131" t="s">
        <v>457</v>
      </c>
      <c r="C1131" s="34">
        <v>1</v>
      </c>
      <c r="D1131" s="33" t="s">
        <v>119</v>
      </c>
    </row>
    <row r="1132" spans="1:4" x14ac:dyDescent="0.3">
      <c r="A1132" t="s">
        <v>201</v>
      </c>
      <c r="B1132" t="s">
        <v>457</v>
      </c>
      <c r="C1132" s="34">
        <v>1</v>
      </c>
      <c r="D1132" s="33" t="s">
        <v>119</v>
      </c>
    </row>
    <row r="1133" spans="1:4" x14ac:dyDescent="0.3">
      <c r="A1133" t="s">
        <v>172</v>
      </c>
      <c r="B1133" t="s">
        <v>457</v>
      </c>
      <c r="C1133" s="34">
        <v>1</v>
      </c>
      <c r="D1133" s="33" t="s">
        <v>119</v>
      </c>
    </row>
    <row r="1134" spans="1:4" x14ac:dyDescent="0.3">
      <c r="A1134" t="s">
        <v>343</v>
      </c>
      <c r="B1134" t="s">
        <v>457</v>
      </c>
      <c r="C1134" s="34">
        <v>4</v>
      </c>
      <c r="D1134" s="33" t="s">
        <v>119</v>
      </c>
    </row>
    <row r="1135" spans="1:4" x14ac:dyDescent="0.3">
      <c r="A1135" t="s">
        <v>198</v>
      </c>
      <c r="B1135" t="s">
        <v>457</v>
      </c>
      <c r="C1135" s="34">
        <v>1</v>
      </c>
      <c r="D1135" s="33" t="s">
        <v>119</v>
      </c>
    </row>
    <row r="1136" spans="1:4" x14ac:dyDescent="0.3">
      <c r="A1136" t="s">
        <v>453</v>
      </c>
      <c r="B1136" t="s">
        <v>456</v>
      </c>
      <c r="C1136" s="34">
        <v>1</v>
      </c>
      <c r="D1136" s="33" t="s">
        <v>119</v>
      </c>
    </row>
    <row r="1137" spans="1:4" x14ac:dyDescent="0.3">
      <c r="A1137" t="s">
        <v>411</v>
      </c>
      <c r="B1137" t="s">
        <v>456</v>
      </c>
      <c r="C1137" s="34">
        <v>2</v>
      </c>
      <c r="D1137" s="33" t="s">
        <v>119</v>
      </c>
    </row>
    <row r="1138" spans="1:4" x14ac:dyDescent="0.3">
      <c r="A1138" t="s">
        <v>452</v>
      </c>
      <c r="B1138" t="s">
        <v>456</v>
      </c>
      <c r="C1138" s="34">
        <v>4</v>
      </c>
      <c r="D1138" s="33" t="s">
        <v>515</v>
      </c>
    </row>
    <row r="1139" spans="1:4" x14ac:dyDescent="0.3">
      <c r="A1139" t="s">
        <v>317</v>
      </c>
      <c r="B1139" t="s">
        <v>457</v>
      </c>
      <c r="C1139" s="34">
        <v>1</v>
      </c>
      <c r="D1139" s="33" t="s">
        <v>532</v>
      </c>
    </row>
    <row r="1140" spans="1:4" x14ac:dyDescent="0.3">
      <c r="A1140" t="s">
        <v>188</v>
      </c>
      <c r="B1140" t="s">
        <v>457</v>
      </c>
      <c r="C1140" s="34">
        <v>8</v>
      </c>
      <c r="D1140" s="33" t="s">
        <v>119</v>
      </c>
    </row>
    <row r="1141" spans="1:4" x14ac:dyDescent="0.3">
      <c r="A1141" t="s">
        <v>455</v>
      </c>
      <c r="B1141" t="s">
        <v>457</v>
      </c>
      <c r="C1141" s="34">
        <v>2</v>
      </c>
      <c r="D1141" s="33" t="s">
        <v>551</v>
      </c>
    </row>
    <row r="1142" spans="1:4" x14ac:dyDescent="0.3">
      <c r="A1142" t="s">
        <v>552</v>
      </c>
      <c r="B1142" t="s">
        <v>456</v>
      </c>
      <c r="C1142" s="34">
        <v>1</v>
      </c>
      <c r="D1142" s="33" t="s">
        <v>119</v>
      </c>
    </row>
    <row r="1143" spans="1:4" x14ac:dyDescent="0.3">
      <c r="A1143" t="s">
        <v>450</v>
      </c>
      <c r="B1143" t="s">
        <v>458</v>
      </c>
      <c r="C1143" s="34">
        <v>3</v>
      </c>
      <c r="D1143" s="33" t="s">
        <v>119</v>
      </c>
    </row>
    <row r="1144" spans="1:4" ht="15" thickBot="1" x14ac:dyDescent="0.35">
      <c r="A1144" t="s">
        <v>533</v>
      </c>
      <c r="B1144" t="s">
        <v>458</v>
      </c>
      <c r="C1144" s="34">
        <v>2</v>
      </c>
      <c r="D1144" s="33" t="s">
        <v>119</v>
      </c>
    </row>
    <row r="1145" spans="1:4" x14ac:dyDescent="0.3">
      <c r="A1145" s="25" t="s">
        <v>463</v>
      </c>
      <c r="B1145" s="22"/>
      <c r="C1145" s="23">
        <f>SUM(C1119:C1144)</f>
        <v>213</v>
      </c>
      <c r="D1145" s="22"/>
    </row>
    <row r="1148" spans="1:4" x14ac:dyDescent="0.3">
      <c r="A1148" s="32" t="s">
        <v>553</v>
      </c>
      <c r="B1148" s="32"/>
      <c r="C1148" s="32"/>
      <c r="D1148" s="32"/>
    </row>
    <row r="1149" spans="1:4" x14ac:dyDescent="0.3">
      <c r="A1149" t="s">
        <v>134</v>
      </c>
      <c r="B1149" t="s">
        <v>457</v>
      </c>
      <c r="C1149" s="34">
        <v>1</v>
      </c>
      <c r="D1149" s="33" t="s">
        <v>119</v>
      </c>
    </row>
    <row r="1150" spans="1:4" x14ac:dyDescent="0.3">
      <c r="A1150" t="s">
        <v>258</v>
      </c>
      <c r="B1150" t="s">
        <v>457</v>
      </c>
      <c r="C1150" s="34">
        <v>4</v>
      </c>
      <c r="D1150" s="33" t="s">
        <v>119</v>
      </c>
    </row>
    <row r="1151" spans="1:4" x14ac:dyDescent="0.3">
      <c r="A1151" t="s">
        <v>137</v>
      </c>
      <c r="B1151" t="s">
        <v>457</v>
      </c>
      <c r="C1151" s="34">
        <v>29</v>
      </c>
      <c r="D1151" s="33" t="s">
        <v>119</v>
      </c>
    </row>
    <row r="1152" spans="1:4" x14ac:dyDescent="0.3">
      <c r="A1152" t="s">
        <v>138</v>
      </c>
      <c r="B1152" t="s">
        <v>457</v>
      </c>
      <c r="C1152" s="34">
        <v>29</v>
      </c>
      <c r="D1152" s="33" t="s">
        <v>119</v>
      </c>
    </row>
    <row r="1153" spans="1:4" x14ac:dyDescent="0.3">
      <c r="A1153" t="s">
        <v>149</v>
      </c>
      <c r="B1153" t="s">
        <v>457</v>
      </c>
      <c r="C1153" s="34">
        <v>1</v>
      </c>
      <c r="D1153" s="33" t="s">
        <v>119</v>
      </c>
    </row>
    <row r="1154" spans="1:4" x14ac:dyDescent="0.3">
      <c r="A1154" t="s">
        <v>533</v>
      </c>
      <c r="B1154" t="s">
        <v>458</v>
      </c>
      <c r="C1154" s="34">
        <v>1</v>
      </c>
      <c r="D1154" s="33" t="s">
        <v>119</v>
      </c>
    </row>
    <row r="1155" spans="1:4" x14ac:dyDescent="0.3">
      <c r="A1155" t="s">
        <v>231</v>
      </c>
      <c r="B1155" t="s">
        <v>457</v>
      </c>
      <c r="C1155" s="34">
        <v>2</v>
      </c>
      <c r="D1155" s="33" t="s">
        <v>119</v>
      </c>
    </row>
    <row r="1156" spans="1:4" x14ac:dyDescent="0.3">
      <c r="A1156" t="s">
        <v>219</v>
      </c>
      <c r="B1156" t="s">
        <v>457</v>
      </c>
      <c r="C1156" s="34">
        <v>1</v>
      </c>
      <c r="D1156" s="33" t="s">
        <v>119</v>
      </c>
    </row>
    <row r="1157" spans="1:4" x14ac:dyDescent="0.3">
      <c r="A1157" t="s">
        <v>269</v>
      </c>
      <c r="B1157" t="s">
        <v>457</v>
      </c>
      <c r="C1157" s="34">
        <v>2</v>
      </c>
      <c r="D1157" s="33" t="s">
        <v>119</v>
      </c>
    </row>
    <row r="1158" spans="1:4" x14ac:dyDescent="0.3">
      <c r="A1158" t="s">
        <v>159</v>
      </c>
      <c r="B1158" t="s">
        <v>457</v>
      </c>
      <c r="C1158" s="34">
        <v>61</v>
      </c>
      <c r="D1158" s="33" t="s">
        <v>119</v>
      </c>
    </row>
    <row r="1159" spans="1:4" x14ac:dyDescent="0.3">
      <c r="A1159" t="s">
        <v>468</v>
      </c>
      <c r="B1159" t="s">
        <v>458</v>
      </c>
      <c r="C1159" s="34">
        <v>5</v>
      </c>
      <c r="D1159" s="33" t="s">
        <v>119</v>
      </c>
    </row>
    <row r="1160" spans="1:4" x14ac:dyDescent="0.3">
      <c r="A1160" t="s">
        <v>335</v>
      </c>
      <c r="B1160" t="s">
        <v>457</v>
      </c>
      <c r="C1160" s="34">
        <v>8</v>
      </c>
      <c r="D1160" s="33" t="s">
        <v>119</v>
      </c>
    </row>
    <row r="1161" spans="1:4" x14ac:dyDescent="0.3">
      <c r="A1161" t="s">
        <v>169</v>
      </c>
      <c r="B1161" t="s">
        <v>457</v>
      </c>
      <c r="C1161" s="34">
        <v>5</v>
      </c>
      <c r="D1161" s="33" t="s">
        <v>119</v>
      </c>
    </row>
    <row r="1162" spans="1:4" x14ac:dyDescent="0.3">
      <c r="A1162" t="s">
        <v>220</v>
      </c>
      <c r="B1162" t="s">
        <v>457</v>
      </c>
      <c r="C1162" s="34">
        <v>2</v>
      </c>
      <c r="D1162" s="33" t="s">
        <v>119</v>
      </c>
    </row>
    <row r="1163" spans="1:4" x14ac:dyDescent="0.3">
      <c r="A1163" t="s">
        <v>223</v>
      </c>
      <c r="B1163" t="s">
        <v>457</v>
      </c>
      <c r="C1163" s="34">
        <v>1</v>
      </c>
      <c r="D1163" s="33" t="s">
        <v>119</v>
      </c>
    </row>
    <row r="1164" spans="1:4" x14ac:dyDescent="0.3">
      <c r="A1164" t="s">
        <v>385</v>
      </c>
      <c r="B1164" t="s">
        <v>461</v>
      </c>
      <c r="C1164" s="34">
        <v>3</v>
      </c>
      <c r="D1164" s="33" t="s">
        <v>119</v>
      </c>
    </row>
    <row r="1165" spans="1:4" x14ac:dyDescent="0.3">
      <c r="A1165" t="s">
        <v>229</v>
      </c>
      <c r="B1165" t="s">
        <v>457</v>
      </c>
      <c r="C1165" s="34">
        <v>9</v>
      </c>
      <c r="D1165" s="33" t="s">
        <v>119</v>
      </c>
    </row>
    <row r="1166" spans="1:4" x14ac:dyDescent="0.3">
      <c r="A1166" t="s">
        <v>440</v>
      </c>
      <c r="B1166" t="s">
        <v>456</v>
      </c>
      <c r="C1166" s="34">
        <v>1</v>
      </c>
      <c r="D1166" s="33" t="s">
        <v>119</v>
      </c>
    </row>
    <row r="1167" spans="1:4" x14ac:dyDescent="0.3">
      <c r="A1167" t="s">
        <v>210</v>
      </c>
      <c r="B1167" t="s">
        <v>457</v>
      </c>
      <c r="C1167" s="34">
        <v>2</v>
      </c>
      <c r="D1167" s="33" t="s">
        <v>119</v>
      </c>
    </row>
    <row r="1168" spans="1:4" x14ac:dyDescent="0.3">
      <c r="A1168" t="s">
        <v>283</v>
      </c>
      <c r="B1168" t="s">
        <v>457</v>
      </c>
      <c r="C1168" s="34">
        <v>1</v>
      </c>
      <c r="D1168" s="33" t="s">
        <v>119</v>
      </c>
    </row>
    <row r="1169" spans="1:4" x14ac:dyDescent="0.3">
      <c r="A1169" t="s">
        <v>471</v>
      </c>
      <c r="B1169" t="s">
        <v>456</v>
      </c>
      <c r="C1169" s="34">
        <v>2</v>
      </c>
      <c r="D1169" s="33" t="s">
        <v>119</v>
      </c>
    </row>
    <row r="1170" spans="1:4" x14ac:dyDescent="0.3">
      <c r="A1170" t="s">
        <v>435</v>
      </c>
      <c r="B1170" t="s">
        <v>456</v>
      </c>
      <c r="C1170" s="34">
        <v>2</v>
      </c>
      <c r="D1170" s="33" t="s">
        <v>119</v>
      </c>
    </row>
    <row r="1171" spans="1:4" x14ac:dyDescent="0.3">
      <c r="A1171" t="s">
        <v>233</v>
      </c>
      <c r="B1171" t="s">
        <v>457</v>
      </c>
      <c r="C1171" s="34">
        <v>1</v>
      </c>
      <c r="D1171" s="33" t="s">
        <v>119</v>
      </c>
    </row>
    <row r="1172" spans="1:4" x14ac:dyDescent="0.3">
      <c r="A1172" t="s">
        <v>308</v>
      </c>
      <c r="B1172" t="s">
        <v>457</v>
      </c>
      <c r="C1172" s="34">
        <v>1</v>
      </c>
      <c r="D1172" s="33" t="s">
        <v>119</v>
      </c>
    </row>
    <row r="1173" spans="1:4" x14ac:dyDescent="0.3">
      <c r="A1173" t="s">
        <v>310</v>
      </c>
      <c r="B1173" t="s">
        <v>457</v>
      </c>
      <c r="C1173" s="34">
        <v>2</v>
      </c>
      <c r="D1173" s="33" t="s">
        <v>119</v>
      </c>
    </row>
    <row r="1174" spans="1:4" x14ac:dyDescent="0.3">
      <c r="A1174" t="s">
        <v>311</v>
      </c>
      <c r="B1174" t="s">
        <v>457</v>
      </c>
      <c r="C1174" s="34">
        <v>3</v>
      </c>
      <c r="D1174" s="33" t="s">
        <v>119</v>
      </c>
    </row>
    <row r="1175" spans="1:4" x14ac:dyDescent="0.3">
      <c r="A1175" t="s">
        <v>274</v>
      </c>
      <c r="B1175" t="s">
        <v>457</v>
      </c>
      <c r="C1175" s="34">
        <v>5</v>
      </c>
      <c r="D1175" s="33" t="s">
        <v>119</v>
      </c>
    </row>
    <row r="1176" spans="1:4" x14ac:dyDescent="0.3">
      <c r="A1176" t="s">
        <v>470</v>
      </c>
      <c r="B1176" t="s">
        <v>456</v>
      </c>
      <c r="C1176" s="34">
        <v>1</v>
      </c>
      <c r="D1176" s="33" t="s">
        <v>119</v>
      </c>
    </row>
    <row r="1177" spans="1:4" x14ac:dyDescent="0.3">
      <c r="A1177" t="s">
        <v>275</v>
      </c>
      <c r="B1177" t="s">
        <v>457</v>
      </c>
      <c r="C1177" s="34">
        <v>9</v>
      </c>
      <c r="D1177" s="33" t="s">
        <v>119</v>
      </c>
    </row>
    <row r="1178" spans="1:4" x14ac:dyDescent="0.3">
      <c r="A1178" t="s">
        <v>293</v>
      </c>
      <c r="B1178" t="s">
        <v>457</v>
      </c>
      <c r="C1178" s="34">
        <v>2</v>
      </c>
      <c r="D1178" s="33" t="s">
        <v>529</v>
      </c>
    </row>
    <row r="1179" spans="1:4" x14ac:dyDescent="0.3">
      <c r="A1179" t="s">
        <v>201</v>
      </c>
      <c r="B1179" t="s">
        <v>457</v>
      </c>
      <c r="C1179" s="34">
        <v>2</v>
      </c>
      <c r="D1179" s="33" t="s">
        <v>119</v>
      </c>
    </row>
    <row r="1180" spans="1:4" x14ac:dyDescent="0.3">
      <c r="A1180" t="s">
        <v>284</v>
      </c>
      <c r="B1180" t="s">
        <v>457</v>
      </c>
      <c r="C1180" s="34">
        <v>1</v>
      </c>
      <c r="D1180" s="33" t="s">
        <v>119</v>
      </c>
    </row>
    <row r="1181" spans="1:4" x14ac:dyDescent="0.3">
      <c r="A1181" t="s">
        <v>391</v>
      </c>
      <c r="B1181" t="s">
        <v>461</v>
      </c>
      <c r="C1181" s="34">
        <v>13</v>
      </c>
      <c r="D1181" s="33" t="s">
        <v>119</v>
      </c>
    </row>
    <row r="1182" spans="1:4" x14ac:dyDescent="0.3">
      <c r="A1182" t="s">
        <v>286</v>
      </c>
      <c r="B1182" t="s">
        <v>457</v>
      </c>
      <c r="C1182" s="34">
        <v>2</v>
      </c>
      <c r="D1182" s="33" t="s">
        <v>119</v>
      </c>
    </row>
    <row r="1183" spans="1:4" x14ac:dyDescent="0.3">
      <c r="A1183" t="s">
        <v>279</v>
      </c>
      <c r="B1183" t="s">
        <v>457</v>
      </c>
      <c r="C1183" s="34">
        <v>1</v>
      </c>
      <c r="D1183" s="33" t="s">
        <v>119</v>
      </c>
    </row>
    <row r="1184" spans="1:4" x14ac:dyDescent="0.3">
      <c r="A1184" t="s">
        <v>509</v>
      </c>
      <c r="B1184" t="s">
        <v>457</v>
      </c>
      <c r="C1184" s="34">
        <v>1</v>
      </c>
      <c r="D1184" s="33" t="s">
        <v>119</v>
      </c>
    </row>
    <row r="1185" spans="1:4" x14ac:dyDescent="0.3">
      <c r="A1185" t="s">
        <v>288</v>
      </c>
      <c r="B1185" t="s">
        <v>457</v>
      </c>
      <c r="C1185" s="34">
        <v>4</v>
      </c>
      <c r="D1185" s="33" t="s">
        <v>119</v>
      </c>
    </row>
    <row r="1186" spans="1:4" x14ac:dyDescent="0.3">
      <c r="A1186" t="s">
        <v>395</v>
      </c>
      <c r="B1186" t="s">
        <v>461</v>
      </c>
      <c r="C1186" s="34">
        <v>18</v>
      </c>
      <c r="D1186" s="33" t="s">
        <v>119</v>
      </c>
    </row>
    <row r="1187" spans="1:4" x14ac:dyDescent="0.3">
      <c r="A1187" t="s">
        <v>174</v>
      </c>
      <c r="B1187" t="s">
        <v>457</v>
      </c>
      <c r="C1187" s="34">
        <v>1</v>
      </c>
      <c r="D1187" s="33" t="s">
        <v>119</v>
      </c>
    </row>
    <row r="1188" spans="1:4" x14ac:dyDescent="0.3">
      <c r="A1188" t="s">
        <v>452</v>
      </c>
      <c r="B1188" t="s">
        <v>456</v>
      </c>
      <c r="C1188" s="34">
        <v>73</v>
      </c>
      <c r="D1188" s="33" t="s">
        <v>515</v>
      </c>
    </row>
    <row r="1189" spans="1:4" x14ac:dyDescent="0.3">
      <c r="A1189" t="s">
        <v>317</v>
      </c>
      <c r="B1189" t="s">
        <v>457</v>
      </c>
      <c r="C1189" s="34">
        <v>2</v>
      </c>
      <c r="D1189" s="33" t="s">
        <v>532</v>
      </c>
    </row>
    <row r="1190" spans="1:4" ht="15" thickBot="1" x14ac:dyDescent="0.35">
      <c r="A1190" t="s">
        <v>455</v>
      </c>
      <c r="B1190" t="s">
        <v>457</v>
      </c>
      <c r="C1190" s="34">
        <v>8</v>
      </c>
      <c r="D1190" s="33" t="s">
        <v>554</v>
      </c>
    </row>
    <row r="1191" spans="1:4" x14ac:dyDescent="0.3">
      <c r="A1191" s="25" t="s">
        <v>463</v>
      </c>
      <c r="B1191" s="22"/>
      <c r="C1191" s="23">
        <f>SUM(C1149:C1190)</f>
        <v>322</v>
      </c>
      <c r="D1191" s="22"/>
    </row>
    <row r="1193" spans="1:4" x14ac:dyDescent="0.3">
      <c r="A1193" s="32" t="s">
        <v>555</v>
      </c>
      <c r="B1193" s="32"/>
      <c r="C1193" s="32"/>
      <c r="D1193" s="32"/>
    </row>
    <row r="1194" spans="1:4" x14ac:dyDescent="0.3">
      <c r="A1194" t="s">
        <v>325</v>
      </c>
      <c r="B1194" t="s">
        <v>457</v>
      </c>
      <c r="C1194" s="34">
        <v>1</v>
      </c>
      <c r="D1194" s="33" t="s">
        <v>119</v>
      </c>
    </row>
    <row r="1195" spans="1:4" x14ac:dyDescent="0.3">
      <c r="A1195" t="s">
        <v>133</v>
      </c>
      <c r="B1195" t="s">
        <v>457</v>
      </c>
      <c r="C1195" s="34">
        <v>2</v>
      </c>
      <c r="D1195" s="33" t="s">
        <v>119</v>
      </c>
    </row>
    <row r="1196" spans="1:4" x14ac:dyDescent="0.3">
      <c r="A1196" t="s">
        <v>346</v>
      </c>
      <c r="B1196" t="s">
        <v>457</v>
      </c>
      <c r="C1196" s="34">
        <v>3</v>
      </c>
      <c r="D1196" s="33" t="s">
        <v>119</v>
      </c>
    </row>
    <row r="1197" spans="1:4" x14ac:dyDescent="0.3">
      <c r="A1197" t="s">
        <v>258</v>
      </c>
      <c r="B1197" t="s">
        <v>457</v>
      </c>
      <c r="C1197" s="34">
        <v>6</v>
      </c>
      <c r="D1197" s="33" t="s">
        <v>119</v>
      </c>
    </row>
    <row r="1198" spans="1:4" x14ac:dyDescent="0.3">
      <c r="A1198" t="s">
        <v>382</v>
      </c>
      <c r="B1198" t="s">
        <v>461</v>
      </c>
      <c r="C1198" s="34">
        <v>1</v>
      </c>
      <c r="D1198" s="33" t="s">
        <v>119</v>
      </c>
    </row>
    <row r="1199" spans="1:4" x14ac:dyDescent="0.3">
      <c r="A1199" t="s">
        <v>152</v>
      </c>
      <c r="B1199" t="s">
        <v>457</v>
      </c>
      <c r="C1199" s="34">
        <v>2</v>
      </c>
      <c r="D1199" s="33" t="s">
        <v>119</v>
      </c>
    </row>
    <row r="1200" spans="1:4" x14ac:dyDescent="0.3">
      <c r="A1200" t="s">
        <v>474</v>
      </c>
      <c r="B1200" t="s">
        <v>458</v>
      </c>
      <c r="C1200" s="34">
        <v>20</v>
      </c>
      <c r="D1200" s="33" t="s">
        <v>119</v>
      </c>
    </row>
    <row r="1201" spans="1:4" x14ac:dyDescent="0.3">
      <c r="A1201" t="s">
        <v>137</v>
      </c>
      <c r="B1201" t="s">
        <v>457</v>
      </c>
      <c r="C1201" s="34">
        <v>18</v>
      </c>
      <c r="D1201" s="33" t="s">
        <v>119</v>
      </c>
    </row>
    <row r="1202" spans="1:4" x14ac:dyDescent="0.3">
      <c r="A1202" t="s">
        <v>136</v>
      </c>
      <c r="B1202" t="s">
        <v>457</v>
      </c>
      <c r="C1202" s="34">
        <v>3</v>
      </c>
      <c r="D1202" s="33" t="s">
        <v>119</v>
      </c>
    </row>
    <row r="1203" spans="1:4" x14ac:dyDescent="0.3">
      <c r="A1203" t="s">
        <v>138</v>
      </c>
      <c r="B1203" t="s">
        <v>457</v>
      </c>
      <c r="C1203" s="34">
        <v>7</v>
      </c>
      <c r="D1203" s="33" t="s">
        <v>119</v>
      </c>
    </row>
    <row r="1204" spans="1:4" x14ac:dyDescent="0.3">
      <c r="A1204" t="s">
        <v>219</v>
      </c>
      <c r="B1204" t="s">
        <v>457</v>
      </c>
      <c r="C1204" s="34">
        <v>1</v>
      </c>
      <c r="D1204" s="33" t="s">
        <v>119</v>
      </c>
    </row>
    <row r="1205" spans="1:4" x14ac:dyDescent="0.3">
      <c r="A1205" t="s">
        <v>300</v>
      </c>
      <c r="B1205" t="s">
        <v>457</v>
      </c>
      <c r="C1205" s="34">
        <v>1</v>
      </c>
      <c r="D1205" s="33" t="s">
        <v>119</v>
      </c>
    </row>
    <row r="1206" spans="1:4" x14ac:dyDescent="0.3">
      <c r="A1206" t="s">
        <v>299</v>
      </c>
      <c r="B1206" t="s">
        <v>457</v>
      </c>
      <c r="C1206" s="34">
        <v>1</v>
      </c>
      <c r="D1206" s="33" t="s">
        <v>119</v>
      </c>
    </row>
    <row r="1207" spans="1:4" x14ac:dyDescent="0.3">
      <c r="A1207" t="s">
        <v>301</v>
      </c>
      <c r="B1207" t="s">
        <v>457</v>
      </c>
      <c r="C1207" s="34">
        <v>16</v>
      </c>
      <c r="D1207" s="33" t="s">
        <v>119</v>
      </c>
    </row>
    <row r="1208" spans="1:4" x14ac:dyDescent="0.3">
      <c r="A1208" t="s">
        <v>430</v>
      </c>
      <c r="B1208" t="s">
        <v>456</v>
      </c>
      <c r="C1208" s="34">
        <v>1</v>
      </c>
      <c r="D1208" s="33" t="s">
        <v>119</v>
      </c>
    </row>
    <row r="1209" spans="1:4" x14ac:dyDescent="0.3">
      <c r="A1209" t="s">
        <v>160</v>
      </c>
      <c r="B1209" t="s">
        <v>457</v>
      </c>
      <c r="C1209" s="34">
        <v>53</v>
      </c>
      <c r="D1209" s="33" t="s">
        <v>119</v>
      </c>
    </row>
    <row r="1210" spans="1:4" x14ac:dyDescent="0.3">
      <c r="A1210" t="s">
        <v>302</v>
      </c>
      <c r="B1210" t="s">
        <v>457</v>
      </c>
      <c r="C1210" s="34">
        <v>3</v>
      </c>
      <c r="D1210" s="33" t="s">
        <v>556</v>
      </c>
    </row>
    <row r="1211" spans="1:4" x14ac:dyDescent="0.3">
      <c r="A1211" t="s">
        <v>335</v>
      </c>
      <c r="B1211" t="s">
        <v>457</v>
      </c>
      <c r="C1211" s="34">
        <v>10</v>
      </c>
      <c r="D1211" s="33" t="s">
        <v>119</v>
      </c>
    </row>
    <row r="1212" spans="1:4" x14ac:dyDescent="0.3">
      <c r="A1212" t="s">
        <v>169</v>
      </c>
      <c r="B1212" t="s">
        <v>457</v>
      </c>
      <c r="C1212" s="34">
        <v>14</v>
      </c>
      <c r="D1212" s="33" t="s">
        <v>119</v>
      </c>
    </row>
    <row r="1213" spans="1:4" x14ac:dyDescent="0.3">
      <c r="A1213" t="s">
        <v>450</v>
      </c>
      <c r="B1213" t="s">
        <v>458</v>
      </c>
      <c r="C1213" s="34">
        <v>10</v>
      </c>
      <c r="D1213" s="33" t="s">
        <v>119</v>
      </c>
    </row>
    <row r="1214" spans="1:4" x14ac:dyDescent="0.3">
      <c r="A1214" t="s">
        <v>220</v>
      </c>
      <c r="B1214" t="s">
        <v>457</v>
      </c>
      <c r="C1214" s="34">
        <v>3</v>
      </c>
      <c r="D1214" s="33" t="s">
        <v>119</v>
      </c>
    </row>
    <row r="1215" spans="1:4" x14ac:dyDescent="0.3">
      <c r="A1215" t="s">
        <v>223</v>
      </c>
      <c r="B1215" t="s">
        <v>457</v>
      </c>
      <c r="C1215" s="34">
        <v>8</v>
      </c>
      <c r="D1215" s="33" t="s">
        <v>119</v>
      </c>
    </row>
    <row r="1216" spans="1:4" x14ac:dyDescent="0.3">
      <c r="A1216" t="s">
        <v>229</v>
      </c>
      <c r="B1216" t="s">
        <v>457</v>
      </c>
      <c r="C1216" s="34">
        <v>2</v>
      </c>
      <c r="D1216" s="33" t="s">
        <v>119</v>
      </c>
    </row>
    <row r="1217" spans="1:4" x14ac:dyDescent="0.3">
      <c r="A1217" t="s">
        <v>557</v>
      </c>
      <c r="B1217" t="s">
        <v>461</v>
      </c>
      <c r="C1217" s="34">
        <v>1</v>
      </c>
      <c r="D1217" s="33" t="s">
        <v>119</v>
      </c>
    </row>
    <row r="1218" spans="1:4" x14ac:dyDescent="0.3">
      <c r="A1218" t="s">
        <v>210</v>
      </c>
      <c r="B1218" t="s">
        <v>457</v>
      </c>
      <c r="C1218" s="34">
        <v>1</v>
      </c>
      <c r="D1218" s="33" t="s">
        <v>119</v>
      </c>
    </row>
    <row r="1219" spans="1:4" x14ac:dyDescent="0.3">
      <c r="A1219" t="s">
        <v>283</v>
      </c>
      <c r="B1219" t="s">
        <v>457</v>
      </c>
      <c r="C1219" s="34">
        <v>2</v>
      </c>
      <c r="D1219" s="33" t="s">
        <v>119</v>
      </c>
    </row>
    <row r="1220" spans="1:4" x14ac:dyDescent="0.3">
      <c r="A1220" t="s">
        <v>272</v>
      </c>
      <c r="B1220" t="s">
        <v>457</v>
      </c>
      <c r="C1220" s="34">
        <v>2</v>
      </c>
      <c r="D1220" s="33" t="s">
        <v>119</v>
      </c>
    </row>
    <row r="1221" spans="1:4" x14ac:dyDescent="0.3">
      <c r="A1221" t="s">
        <v>435</v>
      </c>
      <c r="B1221" t="s">
        <v>456</v>
      </c>
      <c r="C1221" s="34">
        <v>29</v>
      </c>
      <c r="D1221" s="33" t="s">
        <v>119</v>
      </c>
    </row>
    <row r="1222" spans="1:4" x14ac:dyDescent="0.3">
      <c r="A1222" t="s">
        <v>225</v>
      </c>
      <c r="B1222" t="s">
        <v>457</v>
      </c>
      <c r="C1222" s="34">
        <v>2</v>
      </c>
      <c r="D1222" s="33" t="s">
        <v>119</v>
      </c>
    </row>
    <row r="1223" spans="1:4" x14ac:dyDescent="0.3">
      <c r="A1223" t="s">
        <v>364</v>
      </c>
      <c r="B1223" t="s">
        <v>457</v>
      </c>
      <c r="C1223" s="34">
        <v>2</v>
      </c>
      <c r="D1223" s="33" t="s">
        <v>119</v>
      </c>
    </row>
    <row r="1224" spans="1:4" x14ac:dyDescent="0.3">
      <c r="A1224" t="s">
        <v>455</v>
      </c>
      <c r="B1224" t="s">
        <v>457</v>
      </c>
      <c r="C1224" s="34">
        <v>6</v>
      </c>
      <c r="D1224" s="33" t="s">
        <v>558</v>
      </c>
    </row>
    <row r="1225" spans="1:4" x14ac:dyDescent="0.3">
      <c r="A1225" t="s">
        <v>308</v>
      </c>
      <c r="B1225" t="s">
        <v>457</v>
      </c>
      <c r="C1225" s="34">
        <v>3</v>
      </c>
      <c r="D1225" s="33" t="s">
        <v>119</v>
      </c>
    </row>
    <row r="1226" spans="1:4" x14ac:dyDescent="0.3">
      <c r="A1226" t="s">
        <v>310</v>
      </c>
      <c r="B1226" t="s">
        <v>457</v>
      </c>
      <c r="C1226" s="34">
        <v>1</v>
      </c>
      <c r="D1226" s="33" t="s">
        <v>119</v>
      </c>
    </row>
    <row r="1227" spans="1:4" x14ac:dyDescent="0.3">
      <c r="A1227" t="s">
        <v>402</v>
      </c>
      <c r="B1227" t="s">
        <v>456</v>
      </c>
      <c r="C1227" s="34">
        <v>1</v>
      </c>
      <c r="D1227" s="33" t="s">
        <v>119</v>
      </c>
    </row>
    <row r="1228" spans="1:4" x14ac:dyDescent="0.3">
      <c r="A1228" t="s">
        <v>275</v>
      </c>
      <c r="B1228" t="s">
        <v>457</v>
      </c>
      <c r="C1228" s="34">
        <v>1</v>
      </c>
      <c r="D1228" s="33" t="s">
        <v>119</v>
      </c>
    </row>
    <row r="1229" spans="1:4" x14ac:dyDescent="0.3">
      <c r="A1229" t="s">
        <v>284</v>
      </c>
      <c r="B1229" t="s">
        <v>457</v>
      </c>
      <c r="C1229" s="34">
        <v>1</v>
      </c>
      <c r="D1229" s="33" t="s">
        <v>119</v>
      </c>
    </row>
    <row r="1230" spans="1:4" x14ac:dyDescent="0.3">
      <c r="A1230" t="s">
        <v>343</v>
      </c>
      <c r="B1230" t="s">
        <v>457</v>
      </c>
      <c r="C1230" s="34">
        <v>13</v>
      </c>
      <c r="D1230" s="33" t="s">
        <v>119</v>
      </c>
    </row>
    <row r="1231" spans="1:4" x14ac:dyDescent="0.3">
      <c r="A1231" t="s">
        <v>198</v>
      </c>
      <c r="B1231" t="s">
        <v>457</v>
      </c>
      <c r="C1231" s="34">
        <v>1</v>
      </c>
      <c r="D1231" s="33" t="s">
        <v>119</v>
      </c>
    </row>
    <row r="1232" spans="1:4" x14ac:dyDescent="0.3">
      <c r="A1232" t="s">
        <v>391</v>
      </c>
      <c r="B1232" t="s">
        <v>461</v>
      </c>
      <c r="C1232" s="34">
        <v>7</v>
      </c>
      <c r="D1232" s="33" t="s">
        <v>119</v>
      </c>
    </row>
    <row r="1233" spans="1:4" x14ac:dyDescent="0.3">
      <c r="A1233" t="s">
        <v>392</v>
      </c>
      <c r="B1233" t="s">
        <v>461</v>
      </c>
      <c r="C1233" s="34">
        <v>1</v>
      </c>
      <c r="D1233" s="33" t="s">
        <v>119</v>
      </c>
    </row>
    <row r="1234" spans="1:4" x14ac:dyDescent="0.3">
      <c r="A1234" t="s">
        <v>453</v>
      </c>
      <c r="B1234" t="s">
        <v>456</v>
      </c>
      <c r="C1234" s="34">
        <v>2</v>
      </c>
      <c r="D1234" s="33" t="s">
        <v>119</v>
      </c>
    </row>
    <row r="1235" spans="1:4" x14ac:dyDescent="0.3">
      <c r="A1235" t="s">
        <v>286</v>
      </c>
      <c r="B1235" t="s">
        <v>457</v>
      </c>
      <c r="C1235" s="34">
        <v>5</v>
      </c>
      <c r="D1235" s="33" t="s">
        <v>119</v>
      </c>
    </row>
    <row r="1236" spans="1:4" x14ac:dyDescent="0.3">
      <c r="A1236" t="s">
        <v>315</v>
      </c>
      <c r="B1236" t="s">
        <v>457</v>
      </c>
      <c r="C1236" s="34">
        <v>1</v>
      </c>
      <c r="D1236" s="33" t="s">
        <v>119</v>
      </c>
    </row>
    <row r="1237" spans="1:4" x14ac:dyDescent="0.3">
      <c r="A1237" t="s">
        <v>321</v>
      </c>
      <c r="B1237" t="s">
        <v>457</v>
      </c>
      <c r="C1237" s="34">
        <v>1</v>
      </c>
      <c r="D1237" s="33" t="s">
        <v>119</v>
      </c>
    </row>
    <row r="1238" spans="1:4" x14ac:dyDescent="0.3">
      <c r="A1238" t="s">
        <v>395</v>
      </c>
      <c r="B1238" t="s">
        <v>461</v>
      </c>
      <c r="C1238" s="34">
        <v>21</v>
      </c>
      <c r="D1238" s="33" t="s">
        <v>119</v>
      </c>
    </row>
    <row r="1239" spans="1:4" x14ac:dyDescent="0.3">
      <c r="A1239" t="s">
        <v>174</v>
      </c>
      <c r="B1239" t="s">
        <v>457</v>
      </c>
      <c r="C1239" s="34">
        <v>26</v>
      </c>
      <c r="D1239" s="33" t="s">
        <v>119</v>
      </c>
    </row>
    <row r="1240" spans="1:4" x14ac:dyDescent="0.3">
      <c r="A1240" t="s">
        <v>452</v>
      </c>
      <c r="B1240" t="s">
        <v>456</v>
      </c>
      <c r="C1240" s="34">
        <v>1</v>
      </c>
      <c r="D1240" s="33" t="s">
        <v>515</v>
      </c>
    </row>
    <row r="1241" spans="1:4" x14ac:dyDescent="0.3">
      <c r="A1241" t="s">
        <v>317</v>
      </c>
      <c r="B1241" t="s">
        <v>457</v>
      </c>
      <c r="C1241" s="34">
        <v>36</v>
      </c>
      <c r="D1241" s="33" t="s">
        <v>559</v>
      </c>
    </row>
    <row r="1242" spans="1:4" ht="15" thickBot="1" x14ac:dyDescent="0.35">
      <c r="A1242" t="s">
        <v>188</v>
      </c>
      <c r="B1242" t="s">
        <v>457</v>
      </c>
      <c r="C1242" s="34">
        <v>3</v>
      </c>
      <c r="D1242" s="33" t="s">
        <v>119</v>
      </c>
    </row>
    <row r="1243" spans="1:4" x14ac:dyDescent="0.3">
      <c r="A1243" s="25" t="s">
        <v>463</v>
      </c>
      <c r="B1243" s="22"/>
      <c r="C1243" s="23">
        <f>SUM(C1194:C1242)</f>
        <v>356</v>
      </c>
      <c r="D1243" s="22"/>
    </row>
  </sheetData>
  <phoneticPr fontId="0" type="noConversion"/>
  <hyperlinks>
    <hyperlink ref="A5" r:id="rId1" xr:uid="{00000000-0004-0000-0300-000000000000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PhotoshopElements.Image.2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1341120</xdr:colOff>
                <xdr:row>1</xdr:row>
                <xdr:rowOff>0</xdr:rowOff>
              </to>
            </anchor>
          </objectPr>
        </oleObject>
      </mc:Choice>
      <mc:Fallback>
        <oleObject progId="PhotoshopElements.Image.2" shapeId="2049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8"/>
  <sheetViews>
    <sheetView topLeftCell="A7" workbookViewId="0">
      <selection activeCell="G40" sqref="G40"/>
    </sheetView>
  </sheetViews>
  <sheetFormatPr defaultColWidth="8.88671875" defaultRowHeight="15" customHeight="1" x14ac:dyDescent="0.25"/>
  <cols>
    <col min="1" max="6" width="8.88671875" style="13"/>
    <col min="7" max="7" width="10.6640625" style="13" customWidth="1"/>
    <col min="8" max="8" width="12.44140625" style="13" customWidth="1"/>
    <col min="9" max="9" width="14.6640625" style="13" customWidth="1"/>
    <col min="10" max="10" width="8.88671875" style="13"/>
    <col min="11" max="11" width="14.88671875" style="13" customWidth="1"/>
    <col min="12" max="12" width="8.88671875" style="13"/>
    <col min="13" max="13" width="14.88671875" style="13" customWidth="1"/>
    <col min="14" max="14" width="8.88671875" style="13"/>
    <col min="15" max="15" width="14.88671875" style="13" customWidth="1"/>
    <col min="16" max="16" width="8.88671875" style="13"/>
    <col min="17" max="17" width="14.88671875" style="13" customWidth="1"/>
    <col min="18" max="16384" width="8.88671875" style="13"/>
  </cols>
  <sheetData>
    <row r="1" spans="1:10" ht="41.25" customHeight="1" x14ac:dyDescent="0.25"/>
    <row r="2" spans="1:10" ht="15" customHeight="1" x14ac:dyDescent="0.3">
      <c r="A2" t="s">
        <v>85</v>
      </c>
    </row>
    <row r="3" spans="1:10" ht="15" customHeight="1" x14ac:dyDescent="0.3">
      <c r="A3" t="s">
        <v>86</v>
      </c>
    </row>
    <row r="4" spans="1:10" ht="15" customHeight="1" x14ac:dyDescent="0.3">
      <c r="A4" t="s">
        <v>65</v>
      </c>
    </row>
    <row r="5" spans="1:10" ht="15" customHeight="1" x14ac:dyDescent="0.3">
      <c r="A5" s="4" t="s">
        <v>62</v>
      </c>
    </row>
    <row r="6" spans="1:10" ht="15" customHeight="1" x14ac:dyDescent="0.3">
      <c r="A6" t="s">
        <v>63</v>
      </c>
    </row>
    <row r="7" spans="1:10" ht="15" customHeight="1" x14ac:dyDescent="0.3">
      <c r="A7" s="5"/>
    </row>
    <row r="9" spans="1:10" ht="15" customHeight="1" x14ac:dyDescent="0.3">
      <c r="A9" s="12" t="s">
        <v>70</v>
      </c>
      <c r="B9" s="12" t="s">
        <v>64</v>
      </c>
      <c r="C9" s="12" t="s">
        <v>71</v>
      </c>
      <c r="D9" s="12" t="s">
        <v>72</v>
      </c>
      <c r="E9" s="12" t="s">
        <v>73</v>
      </c>
      <c r="F9" s="12" t="s">
        <v>74</v>
      </c>
      <c r="G9" s="21" t="s">
        <v>560</v>
      </c>
      <c r="H9" s="12"/>
      <c r="I9" s="21" t="s">
        <v>561</v>
      </c>
    </row>
    <row r="10" spans="1:10" ht="14.4" x14ac:dyDescent="0.3">
      <c r="G10" s="21" t="s">
        <v>562</v>
      </c>
      <c r="H10" s="21" t="s">
        <v>563</v>
      </c>
      <c r="I10" s="21" t="s">
        <v>562</v>
      </c>
      <c r="J10" s="21" t="s">
        <v>563</v>
      </c>
    </row>
    <row r="11" spans="1:10" ht="14.4" x14ac:dyDescent="0.3">
      <c r="A11" s="33" t="s">
        <v>564</v>
      </c>
      <c r="B11" t="s">
        <v>565</v>
      </c>
      <c r="C11" t="s">
        <v>87</v>
      </c>
      <c r="D11">
        <v>2</v>
      </c>
      <c r="E11" t="s">
        <v>119</v>
      </c>
      <c r="F11" t="s">
        <v>91</v>
      </c>
      <c r="I11" t="s">
        <v>568</v>
      </c>
      <c r="J11">
        <v>310</v>
      </c>
    </row>
    <row r="12" spans="1:10" ht="14.4" x14ac:dyDescent="0.3">
      <c r="A12" s="33" t="s">
        <v>564</v>
      </c>
      <c r="B12" t="s">
        <v>565</v>
      </c>
      <c r="C12" t="s">
        <v>87</v>
      </c>
      <c r="D12">
        <v>2</v>
      </c>
      <c r="E12" t="s">
        <v>119</v>
      </c>
      <c r="F12" t="s">
        <v>92</v>
      </c>
      <c r="I12" t="s">
        <v>571</v>
      </c>
      <c r="J12">
        <v>308</v>
      </c>
    </row>
    <row r="13" spans="1:10" ht="14.4" x14ac:dyDescent="0.3">
      <c r="A13" s="33" t="s">
        <v>564</v>
      </c>
      <c r="B13" t="s">
        <v>565</v>
      </c>
      <c r="C13" t="s">
        <v>87</v>
      </c>
      <c r="D13">
        <v>2</v>
      </c>
      <c r="E13" t="s">
        <v>119</v>
      </c>
      <c r="F13" t="s">
        <v>93</v>
      </c>
      <c r="I13" t="s">
        <v>572</v>
      </c>
      <c r="J13">
        <v>322</v>
      </c>
    </row>
    <row r="14" spans="1:10" ht="14.4" x14ac:dyDescent="0.3">
      <c r="A14" s="33" t="s">
        <v>564</v>
      </c>
      <c r="B14" t="s">
        <v>565</v>
      </c>
      <c r="C14" t="s">
        <v>87</v>
      </c>
      <c r="D14">
        <v>2</v>
      </c>
      <c r="E14" t="s">
        <v>119</v>
      </c>
      <c r="F14" t="s">
        <v>94</v>
      </c>
      <c r="I14" t="s">
        <v>572</v>
      </c>
      <c r="J14">
        <v>370</v>
      </c>
    </row>
    <row r="15" spans="1:10" ht="14.4" x14ac:dyDescent="0.3">
      <c r="A15" s="33" t="s">
        <v>564</v>
      </c>
      <c r="B15" t="s">
        <v>565</v>
      </c>
      <c r="C15" t="s">
        <v>87</v>
      </c>
      <c r="D15">
        <v>2</v>
      </c>
      <c r="E15" t="s">
        <v>119</v>
      </c>
      <c r="F15" t="s">
        <v>95</v>
      </c>
      <c r="I15" t="s">
        <v>567</v>
      </c>
      <c r="J15">
        <v>714</v>
      </c>
    </row>
    <row r="16" spans="1:10" ht="14.4" x14ac:dyDescent="0.3">
      <c r="A16" s="33" t="s">
        <v>564</v>
      </c>
      <c r="B16" t="s">
        <v>565</v>
      </c>
      <c r="C16" t="s">
        <v>87</v>
      </c>
      <c r="D16">
        <v>4</v>
      </c>
      <c r="E16" t="s">
        <v>119</v>
      </c>
      <c r="F16" t="s">
        <v>96</v>
      </c>
      <c r="I16" t="s">
        <v>567</v>
      </c>
      <c r="J16">
        <v>595</v>
      </c>
    </row>
    <row r="17" spans="1:10" ht="14.4" x14ac:dyDescent="0.3">
      <c r="A17" s="33" t="s">
        <v>564</v>
      </c>
      <c r="B17" t="s">
        <v>565</v>
      </c>
      <c r="C17" t="s">
        <v>87</v>
      </c>
      <c r="D17">
        <v>4</v>
      </c>
      <c r="E17" t="s">
        <v>119</v>
      </c>
      <c r="F17" t="s">
        <v>97</v>
      </c>
      <c r="I17" t="s">
        <v>567</v>
      </c>
      <c r="J17">
        <v>441</v>
      </c>
    </row>
    <row r="18" spans="1:10" ht="14.4" x14ac:dyDescent="0.3">
      <c r="A18" s="33" t="s">
        <v>564</v>
      </c>
      <c r="B18" t="s">
        <v>565</v>
      </c>
      <c r="C18" t="s">
        <v>87</v>
      </c>
      <c r="D18">
        <v>4</v>
      </c>
      <c r="E18" t="s">
        <v>119</v>
      </c>
      <c r="F18" t="s">
        <v>98</v>
      </c>
      <c r="I18" t="s">
        <v>571</v>
      </c>
      <c r="J18">
        <v>318</v>
      </c>
    </row>
    <row r="19" spans="1:10" ht="14.4" x14ac:dyDescent="0.3">
      <c r="A19" s="33" t="s">
        <v>564</v>
      </c>
      <c r="B19" t="s">
        <v>565</v>
      </c>
      <c r="C19" t="s">
        <v>87</v>
      </c>
      <c r="D19">
        <v>4</v>
      </c>
      <c r="E19" t="s">
        <v>119</v>
      </c>
      <c r="F19" t="s">
        <v>99</v>
      </c>
      <c r="I19" t="s">
        <v>567</v>
      </c>
      <c r="J19">
        <v>805</v>
      </c>
    </row>
    <row r="20" spans="1:10" ht="14.4" x14ac:dyDescent="0.3">
      <c r="A20" s="33" t="s">
        <v>564</v>
      </c>
      <c r="B20" t="s">
        <v>565</v>
      </c>
      <c r="C20" t="s">
        <v>87</v>
      </c>
      <c r="D20">
        <v>4</v>
      </c>
      <c r="E20" t="s">
        <v>119</v>
      </c>
      <c r="F20" t="s">
        <v>100</v>
      </c>
      <c r="I20" t="s">
        <v>569</v>
      </c>
      <c r="J20">
        <v>333</v>
      </c>
    </row>
    <row r="21" spans="1:10" ht="14.4" x14ac:dyDescent="0.3">
      <c r="A21" s="33" t="s">
        <v>564</v>
      </c>
      <c r="B21" t="s">
        <v>565</v>
      </c>
      <c r="C21" t="s">
        <v>87</v>
      </c>
      <c r="D21">
        <v>5</v>
      </c>
      <c r="E21" t="s">
        <v>119</v>
      </c>
      <c r="F21" t="s">
        <v>101</v>
      </c>
      <c r="I21" t="s">
        <v>567</v>
      </c>
      <c r="J21">
        <v>442</v>
      </c>
    </row>
    <row r="22" spans="1:10" ht="14.4" x14ac:dyDescent="0.3">
      <c r="A22" s="33" t="s">
        <v>564</v>
      </c>
      <c r="B22" t="s">
        <v>565</v>
      </c>
      <c r="C22" t="s">
        <v>87</v>
      </c>
      <c r="D22">
        <v>5</v>
      </c>
      <c r="E22" t="s">
        <v>119</v>
      </c>
      <c r="F22" t="s">
        <v>102</v>
      </c>
      <c r="I22" t="s">
        <v>567</v>
      </c>
      <c r="J22">
        <v>315</v>
      </c>
    </row>
    <row r="23" spans="1:10" ht="14.4" x14ac:dyDescent="0.3">
      <c r="A23" s="33" t="s">
        <v>564</v>
      </c>
      <c r="B23" t="s">
        <v>565</v>
      </c>
      <c r="C23" t="s">
        <v>87</v>
      </c>
      <c r="D23">
        <v>5</v>
      </c>
      <c r="E23" t="s">
        <v>119</v>
      </c>
      <c r="F23" t="s">
        <v>103</v>
      </c>
      <c r="I23" t="s">
        <v>573</v>
      </c>
      <c r="J23">
        <v>348</v>
      </c>
    </row>
    <row r="24" spans="1:10" ht="14.4" x14ac:dyDescent="0.3">
      <c r="A24" s="33" t="s">
        <v>564</v>
      </c>
      <c r="B24" t="s">
        <v>565</v>
      </c>
      <c r="C24" t="s">
        <v>87</v>
      </c>
      <c r="D24">
        <v>5</v>
      </c>
      <c r="E24" t="s">
        <v>119</v>
      </c>
      <c r="F24" t="s">
        <v>104</v>
      </c>
      <c r="I24" t="s">
        <v>569</v>
      </c>
      <c r="J24">
        <v>358</v>
      </c>
    </row>
    <row r="25" spans="1:10" ht="14.4" x14ac:dyDescent="0.3">
      <c r="A25" s="33" t="s">
        <v>564</v>
      </c>
      <c r="B25" t="s">
        <v>565</v>
      </c>
      <c r="C25" t="s">
        <v>88</v>
      </c>
      <c r="D25">
        <v>1</v>
      </c>
      <c r="E25" t="s">
        <v>119</v>
      </c>
      <c r="F25" t="s">
        <v>105</v>
      </c>
      <c r="I25" t="s">
        <v>577</v>
      </c>
      <c r="J25">
        <v>339</v>
      </c>
    </row>
    <row r="26" spans="1:10" ht="14.4" x14ac:dyDescent="0.3">
      <c r="A26" s="33" t="s">
        <v>564</v>
      </c>
      <c r="B26" t="s">
        <v>565</v>
      </c>
      <c r="C26" t="s">
        <v>88</v>
      </c>
      <c r="D26">
        <v>1</v>
      </c>
      <c r="E26" t="s">
        <v>119</v>
      </c>
      <c r="F26" t="s">
        <v>106</v>
      </c>
      <c r="I26" t="s">
        <v>566</v>
      </c>
      <c r="J26">
        <v>257</v>
      </c>
    </row>
    <row r="27" spans="1:10" ht="14.4" x14ac:dyDescent="0.3">
      <c r="A27" s="33" t="s">
        <v>564</v>
      </c>
      <c r="B27" t="s">
        <v>565</v>
      </c>
      <c r="C27" t="s">
        <v>88</v>
      </c>
      <c r="D27">
        <v>1</v>
      </c>
      <c r="E27" t="s">
        <v>119</v>
      </c>
      <c r="F27" t="s">
        <v>107</v>
      </c>
      <c r="I27" t="s">
        <v>566</v>
      </c>
      <c r="J27">
        <v>282</v>
      </c>
    </row>
    <row r="28" spans="1:10" ht="14.4" x14ac:dyDescent="0.3">
      <c r="A28" s="33" t="s">
        <v>564</v>
      </c>
      <c r="B28" t="s">
        <v>565</v>
      </c>
      <c r="C28" t="s">
        <v>88</v>
      </c>
      <c r="D28">
        <v>7</v>
      </c>
      <c r="E28" t="s">
        <v>119</v>
      </c>
      <c r="F28" t="s">
        <v>108</v>
      </c>
      <c r="I28" t="s">
        <v>574</v>
      </c>
      <c r="J28">
        <v>336</v>
      </c>
    </row>
    <row r="29" spans="1:10" ht="14.4" x14ac:dyDescent="0.3">
      <c r="A29" s="33" t="s">
        <v>564</v>
      </c>
      <c r="B29" t="s">
        <v>565</v>
      </c>
      <c r="C29" t="s">
        <v>88</v>
      </c>
      <c r="D29">
        <v>7</v>
      </c>
      <c r="E29" t="s">
        <v>119</v>
      </c>
      <c r="F29" t="s">
        <v>109</v>
      </c>
      <c r="I29" t="s">
        <v>575</v>
      </c>
      <c r="J29">
        <v>347</v>
      </c>
    </row>
    <row r="30" spans="1:10" ht="14.4" x14ac:dyDescent="0.3">
      <c r="A30" s="33" t="s">
        <v>564</v>
      </c>
      <c r="B30" t="s">
        <v>565</v>
      </c>
      <c r="C30" t="s">
        <v>88</v>
      </c>
      <c r="D30">
        <v>7</v>
      </c>
      <c r="E30" t="s">
        <v>119</v>
      </c>
      <c r="F30" t="s">
        <v>110</v>
      </c>
      <c r="I30" t="s">
        <v>579</v>
      </c>
      <c r="J30">
        <v>385</v>
      </c>
    </row>
    <row r="31" spans="1:10" ht="14.4" x14ac:dyDescent="0.3">
      <c r="A31" s="33" t="s">
        <v>564</v>
      </c>
      <c r="B31" t="s">
        <v>565</v>
      </c>
      <c r="C31" t="s">
        <v>88</v>
      </c>
      <c r="D31">
        <v>7</v>
      </c>
      <c r="E31" t="s">
        <v>119</v>
      </c>
      <c r="F31" t="s">
        <v>111</v>
      </c>
      <c r="I31" t="s">
        <v>580</v>
      </c>
      <c r="J31">
        <v>318</v>
      </c>
    </row>
    <row r="32" spans="1:10" ht="14.4" x14ac:dyDescent="0.3">
      <c r="A32" s="33" t="s">
        <v>564</v>
      </c>
      <c r="B32" t="s">
        <v>565</v>
      </c>
      <c r="C32" t="s">
        <v>88</v>
      </c>
      <c r="D32">
        <v>10</v>
      </c>
      <c r="E32" t="s">
        <v>119</v>
      </c>
      <c r="F32" t="s">
        <v>112</v>
      </c>
      <c r="I32" t="s">
        <v>570</v>
      </c>
      <c r="J32">
        <v>307</v>
      </c>
    </row>
    <row r="33" spans="1:10" ht="14.4" x14ac:dyDescent="0.3">
      <c r="A33" s="33" t="s">
        <v>564</v>
      </c>
      <c r="B33" t="s">
        <v>565</v>
      </c>
      <c r="C33" t="s">
        <v>88</v>
      </c>
      <c r="D33">
        <v>10</v>
      </c>
      <c r="E33" t="s">
        <v>119</v>
      </c>
      <c r="F33" t="s">
        <v>113</v>
      </c>
      <c r="I33" t="s">
        <v>576</v>
      </c>
      <c r="J33">
        <v>342</v>
      </c>
    </row>
    <row r="34" spans="1:10" ht="14.4" x14ac:dyDescent="0.3">
      <c r="A34" s="33" t="s">
        <v>564</v>
      </c>
      <c r="B34" t="s">
        <v>565</v>
      </c>
      <c r="C34" t="s">
        <v>88</v>
      </c>
      <c r="D34">
        <v>10</v>
      </c>
      <c r="E34" t="s">
        <v>119</v>
      </c>
      <c r="F34" t="s">
        <v>114</v>
      </c>
      <c r="I34" t="s">
        <v>578</v>
      </c>
      <c r="J34">
        <v>301</v>
      </c>
    </row>
    <row r="35" spans="1:10" ht="14.4" x14ac:dyDescent="0.3">
      <c r="A35" s="33" t="s">
        <v>564</v>
      </c>
      <c r="B35" t="s">
        <v>565</v>
      </c>
      <c r="C35" t="s">
        <v>88</v>
      </c>
      <c r="D35">
        <v>10</v>
      </c>
      <c r="E35" t="s">
        <v>119</v>
      </c>
      <c r="F35" t="s">
        <v>115</v>
      </c>
      <c r="I35" t="s">
        <v>576</v>
      </c>
      <c r="J35">
        <v>316</v>
      </c>
    </row>
    <row r="36" spans="1:10" ht="14.4" x14ac:dyDescent="0.3">
      <c r="A36" s="33" t="s">
        <v>564</v>
      </c>
      <c r="B36" t="s">
        <v>565</v>
      </c>
      <c r="C36" t="s">
        <v>88</v>
      </c>
      <c r="D36">
        <v>10</v>
      </c>
      <c r="E36" t="s">
        <v>119</v>
      </c>
      <c r="F36" t="s">
        <v>116</v>
      </c>
      <c r="I36" t="s">
        <v>581</v>
      </c>
      <c r="J36">
        <v>213</v>
      </c>
    </row>
    <row r="37" spans="1:10" ht="14.4" x14ac:dyDescent="0.3">
      <c r="A37" s="33" t="s">
        <v>564</v>
      </c>
      <c r="B37" t="s">
        <v>565</v>
      </c>
      <c r="C37" t="s">
        <v>89</v>
      </c>
      <c r="D37" t="s">
        <v>90</v>
      </c>
      <c r="E37" t="s">
        <v>119</v>
      </c>
      <c r="F37" t="s">
        <v>117</v>
      </c>
      <c r="I37" t="s">
        <v>570</v>
      </c>
      <c r="J37">
        <v>322</v>
      </c>
    </row>
    <row r="38" spans="1:10" ht="14.4" x14ac:dyDescent="0.3">
      <c r="A38" s="33" t="s">
        <v>564</v>
      </c>
      <c r="B38" t="s">
        <v>565</v>
      </c>
      <c r="C38" t="s">
        <v>89</v>
      </c>
      <c r="D38" t="s">
        <v>90</v>
      </c>
      <c r="E38" t="s">
        <v>119</v>
      </c>
      <c r="F38" t="s">
        <v>118</v>
      </c>
      <c r="I38" t="s">
        <v>582</v>
      </c>
      <c r="J38">
        <v>356</v>
      </c>
    </row>
  </sheetData>
  <phoneticPr fontId="4" type="noConversion"/>
  <hyperlinks>
    <hyperlink ref="A5" r:id="rId1" xr:uid="{00000000-0004-0000-0400-000000000000}"/>
  </hyperlinks>
  <pageMargins left="0.7" right="0.7" top="0.75" bottom="0.75" header="0.3" footer="0.3"/>
  <pageSetup orientation="portrait" horizontalDpi="1200" verticalDpi="1200"/>
  <headerFooter alignWithMargins="0"/>
  <drawing r:id="rId2"/>
  <legacyDrawing r:id="rId3"/>
  <oleObjects>
    <mc:AlternateContent xmlns:mc="http://schemas.openxmlformats.org/markup-compatibility/2006">
      <mc:Choice Requires="x14">
        <oleObject progId="PhotoshopElements.Image.2" shapeId="512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533400</xdr:colOff>
                <xdr:row>1</xdr:row>
                <xdr:rowOff>0</xdr:rowOff>
              </to>
            </anchor>
          </objectPr>
        </oleObject>
      </mc:Choice>
      <mc:Fallback>
        <oleObject progId="PhotoshopElements.Image.2" shapeId="5121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47"/>
  <sheetViews>
    <sheetView workbookViewId="0">
      <selection activeCell="A8" sqref="A8"/>
    </sheetView>
  </sheetViews>
  <sheetFormatPr defaultColWidth="8.88671875" defaultRowHeight="14.4" x14ac:dyDescent="0.3"/>
  <cols>
    <col min="1" max="1" width="37.109375" customWidth="1"/>
    <col min="2" max="2" width="15.88671875" customWidth="1"/>
    <col min="3" max="3" width="14.6640625" customWidth="1"/>
    <col min="4" max="128" width="18.6640625" customWidth="1"/>
  </cols>
  <sheetData>
    <row r="1" spans="1:4" ht="39.75" customHeight="1" x14ac:dyDescent="0.3"/>
    <row r="2" spans="1:4" x14ac:dyDescent="0.3">
      <c r="A2" t="s">
        <v>85</v>
      </c>
    </row>
    <row r="3" spans="1:4" x14ac:dyDescent="0.3">
      <c r="A3" t="s">
        <v>86</v>
      </c>
    </row>
    <row r="4" spans="1:4" x14ac:dyDescent="0.3">
      <c r="A4" t="s">
        <v>65</v>
      </c>
    </row>
    <row r="5" spans="1:4" x14ac:dyDescent="0.3">
      <c r="A5" s="4" t="s">
        <v>62</v>
      </c>
    </row>
    <row r="6" spans="1:4" x14ac:dyDescent="0.3">
      <c r="A6" t="s">
        <v>63</v>
      </c>
    </row>
    <row r="7" spans="1:4" x14ac:dyDescent="0.3">
      <c r="A7" s="5"/>
    </row>
    <row r="8" spans="1:4" ht="30.75" customHeight="1" x14ac:dyDescent="0.3">
      <c r="B8" s="14" t="s">
        <v>75</v>
      </c>
      <c r="C8" s="15" t="s">
        <v>76</v>
      </c>
      <c r="D8" s="19" t="s">
        <v>82</v>
      </c>
    </row>
    <row r="10" spans="1:4" x14ac:dyDescent="0.3">
      <c r="A10" s="27" t="s">
        <v>120</v>
      </c>
      <c r="B10" t="s">
        <v>583</v>
      </c>
      <c r="C10">
        <v>103260</v>
      </c>
    </row>
    <row r="11" spans="1:4" x14ac:dyDescent="0.3">
      <c r="A11" s="21" t="s">
        <v>119</v>
      </c>
    </row>
    <row r="12" spans="1:4" x14ac:dyDescent="0.3">
      <c r="A12" s="21" t="s">
        <v>121</v>
      </c>
      <c r="B12" t="s">
        <v>38</v>
      </c>
      <c r="C12">
        <v>82696</v>
      </c>
    </row>
    <row r="13" spans="1:4" x14ac:dyDescent="0.3">
      <c r="A13" s="21" t="s">
        <v>122</v>
      </c>
      <c r="B13" t="s">
        <v>38</v>
      </c>
      <c r="C13">
        <v>563886</v>
      </c>
    </row>
    <row r="14" spans="1:4" x14ac:dyDescent="0.3">
      <c r="A14" s="21" t="s">
        <v>123</v>
      </c>
      <c r="B14" t="s">
        <v>38</v>
      </c>
      <c r="C14">
        <v>99208</v>
      </c>
    </row>
    <row r="15" spans="1:4" x14ac:dyDescent="0.3">
      <c r="A15" s="21" t="s">
        <v>124</v>
      </c>
      <c r="B15" t="s">
        <v>38</v>
      </c>
      <c r="C15">
        <v>100502</v>
      </c>
    </row>
    <row r="16" spans="1:4" x14ac:dyDescent="0.3">
      <c r="A16" s="21" t="s">
        <v>125</v>
      </c>
      <c r="B16" t="s">
        <v>38</v>
      </c>
      <c r="C16">
        <v>568544</v>
      </c>
    </row>
    <row r="17" spans="1:4" x14ac:dyDescent="0.3">
      <c r="A17" s="27" t="s">
        <v>126</v>
      </c>
      <c r="B17" t="s">
        <v>584</v>
      </c>
      <c r="C17">
        <v>100996</v>
      </c>
    </row>
    <row r="18" spans="1:4" x14ac:dyDescent="0.3">
      <c r="A18" s="21" t="s">
        <v>127</v>
      </c>
      <c r="B18" t="s">
        <v>38</v>
      </c>
      <c r="C18">
        <v>101073</v>
      </c>
    </row>
    <row r="19" spans="1:4" x14ac:dyDescent="0.3">
      <c r="A19" s="27" t="s">
        <v>128</v>
      </c>
      <c r="B19" t="s">
        <v>584</v>
      </c>
      <c r="C19">
        <v>101074</v>
      </c>
    </row>
    <row r="20" spans="1:4" x14ac:dyDescent="0.3">
      <c r="A20" s="21" t="s">
        <v>129</v>
      </c>
      <c r="B20" t="s">
        <v>38</v>
      </c>
      <c r="C20">
        <v>100755</v>
      </c>
    </row>
    <row r="21" spans="1:4" x14ac:dyDescent="0.3">
      <c r="A21" s="27" t="s">
        <v>130</v>
      </c>
      <c r="B21" t="s">
        <v>584</v>
      </c>
      <c r="C21">
        <v>568572</v>
      </c>
      <c r="D21">
        <v>4</v>
      </c>
    </row>
    <row r="22" spans="1:4" x14ac:dyDescent="0.3">
      <c r="A22" s="27" t="s">
        <v>131</v>
      </c>
      <c r="B22" t="s">
        <v>584</v>
      </c>
      <c r="C22">
        <v>609530</v>
      </c>
    </row>
    <row r="23" spans="1:4" x14ac:dyDescent="0.3">
      <c r="A23" s="27" t="s">
        <v>132</v>
      </c>
      <c r="B23" t="s">
        <v>584</v>
      </c>
      <c r="C23">
        <v>100801</v>
      </c>
      <c r="D23">
        <v>4</v>
      </c>
    </row>
    <row r="24" spans="1:4" x14ac:dyDescent="0.3">
      <c r="A24" s="27" t="s">
        <v>133</v>
      </c>
      <c r="B24" t="s">
        <v>584</v>
      </c>
      <c r="C24">
        <v>568574</v>
      </c>
      <c r="D24">
        <v>4</v>
      </c>
    </row>
    <row r="25" spans="1:4" x14ac:dyDescent="0.3">
      <c r="A25" s="27" t="s">
        <v>134</v>
      </c>
      <c r="B25" t="s">
        <v>585</v>
      </c>
      <c r="C25">
        <v>206620</v>
      </c>
      <c r="D25">
        <v>4</v>
      </c>
    </row>
    <row r="26" spans="1:4" x14ac:dyDescent="0.3">
      <c r="A26" s="27" t="s">
        <v>135</v>
      </c>
      <c r="B26" t="s">
        <v>584</v>
      </c>
      <c r="C26">
        <v>100823</v>
      </c>
      <c r="D26">
        <v>4</v>
      </c>
    </row>
    <row r="27" spans="1:4" x14ac:dyDescent="0.3">
      <c r="A27" s="27" t="s">
        <v>136</v>
      </c>
      <c r="B27" t="s">
        <v>584</v>
      </c>
      <c r="C27">
        <v>100835</v>
      </c>
      <c r="D27">
        <v>4</v>
      </c>
    </row>
    <row r="28" spans="1:4" x14ac:dyDescent="0.3">
      <c r="A28" s="27" t="s">
        <v>137</v>
      </c>
      <c r="B28" t="s">
        <v>584</v>
      </c>
      <c r="C28">
        <v>100800</v>
      </c>
      <c r="D28">
        <v>5</v>
      </c>
    </row>
    <row r="29" spans="1:4" x14ac:dyDescent="0.3">
      <c r="A29" s="27" t="s">
        <v>138</v>
      </c>
      <c r="B29" t="s">
        <v>584</v>
      </c>
      <c r="C29">
        <v>100817</v>
      </c>
      <c r="D29">
        <v>6</v>
      </c>
    </row>
    <row r="30" spans="1:4" x14ac:dyDescent="0.3">
      <c r="A30" s="27" t="s">
        <v>139</v>
      </c>
      <c r="B30" t="s">
        <v>584</v>
      </c>
      <c r="C30">
        <v>100817</v>
      </c>
      <c r="D30">
        <v>6</v>
      </c>
    </row>
    <row r="31" spans="1:4" x14ac:dyDescent="0.3">
      <c r="A31" s="27" t="s">
        <v>140</v>
      </c>
      <c r="B31" t="s">
        <v>584</v>
      </c>
      <c r="C31">
        <v>100873</v>
      </c>
      <c r="D31">
        <v>2</v>
      </c>
    </row>
    <row r="32" spans="1:4" x14ac:dyDescent="0.3">
      <c r="A32" s="27" t="s">
        <v>141</v>
      </c>
      <c r="B32" t="s">
        <v>584</v>
      </c>
      <c r="C32">
        <v>568598</v>
      </c>
      <c r="D32">
        <v>5</v>
      </c>
    </row>
    <row r="33" spans="1:4" x14ac:dyDescent="0.3">
      <c r="A33" s="27" t="s">
        <v>142</v>
      </c>
      <c r="B33" t="s">
        <v>584</v>
      </c>
      <c r="C33">
        <v>100794</v>
      </c>
    </row>
    <row r="34" spans="1:4" x14ac:dyDescent="0.3">
      <c r="A34" s="27" t="s">
        <v>143</v>
      </c>
      <c r="B34" t="s">
        <v>583</v>
      </c>
      <c r="C34">
        <v>776928</v>
      </c>
    </row>
    <row r="35" spans="1:4" x14ac:dyDescent="0.3">
      <c r="A35" s="27" t="s">
        <v>144</v>
      </c>
      <c r="B35" t="s">
        <v>38</v>
      </c>
      <c r="C35">
        <v>568552</v>
      </c>
    </row>
    <row r="36" spans="1:4" x14ac:dyDescent="0.3">
      <c r="A36" s="27" t="s">
        <v>145</v>
      </c>
      <c r="B36" t="s">
        <v>38</v>
      </c>
      <c r="C36">
        <v>568553</v>
      </c>
    </row>
    <row r="37" spans="1:4" x14ac:dyDescent="0.3">
      <c r="A37" s="21" t="s">
        <v>146</v>
      </c>
      <c r="B37" t="s">
        <v>38</v>
      </c>
      <c r="C37">
        <v>101493</v>
      </c>
      <c r="D37">
        <v>4</v>
      </c>
    </row>
    <row r="38" spans="1:4" x14ac:dyDescent="0.3">
      <c r="A38" s="27" t="s">
        <v>147</v>
      </c>
      <c r="B38" t="s">
        <v>584</v>
      </c>
      <c r="C38">
        <v>101494</v>
      </c>
      <c r="D38">
        <v>4</v>
      </c>
    </row>
    <row r="39" spans="1:4" x14ac:dyDescent="0.3">
      <c r="A39" s="21" t="s">
        <v>148</v>
      </c>
      <c r="B39" t="s">
        <v>38</v>
      </c>
      <c r="C39">
        <v>101467</v>
      </c>
      <c r="D39">
        <v>7</v>
      </c>
    </row>
    <row r="40" spans="1:4" x14ac:dyDescent="0.3">
      <c r="A40" s="27" t="s">
        <v>149</v>
      </c>
      <c r="B40" t="s">
        <v>584</v>
      </c>
      <c r="C40">
        <v>101478</v>
      </c>
      <c r="D40">
        <v>7</v>
      </c>
    </row>
    <row r="41" spans="1:4" x14ac:dyDescent="0.3">
      <c r="A41" s="27" t="s">
        <v>150</v>
      </c>
      <c r="B41" t="s">
        <v>38</v>
      </c>
      <c r="C41">
        <v>776922</v>
      </c>
    </row>
    <row r="42" spans="1:4" x14ac:dyDescent="0.3">
      <c r="A42" s="21" t="s">
        <v>151</v>
      </c>
      <c r="B42" t="s">
        <v>38</v>
      </c>
      <c r="C42">
        <v>101232</v>
      </c>
    </row>
    <row r="43" spans="1:4" x14ac:dyDescent="0.3">
      <c r="A43" s="27" t="s">
        <v>152</v>
      </c>
      <c r="B43" t="s">
        <v>584</v>
      </c>
      <c r="C43">
        <v>101343</v>
      </c>
    </row>
    <row r="44" spans="1:4" x14ac:dyDescent="0.3">
      <c r="A44" s="27" t="s">
        <v>153</v>
      </c>
      <c r="B44" t="s">
        <v>38</v>
      </c>
      <c r="C44">
        <v>101363</v>
      </c>
    </row>
    <row r="45" spans="1:4" x14ac:dyDescent="0.3">
      <c r="A45" s="27" t="s">
        <v>154</v>
      </c>
      <c r="B45" t="s">
        <v>584</v>
      </c>
      <c r="C45">
        <v>101360</v>
      </c>
    </row>
    <row r="46" spans="1:4" x14ac:dyDescent="0.3">
      <c r="A46" s="27" t="s">
        <v>155</v>
      </c>
      <c r="B46" t="s">
        <v>584</v>
      </c>
      <c r="C46">
        <v>101370</v>
      </c>
    </row>
    <row r="47" spans="1:4" x14ac:dyDescent="0.3">
      <c r="A47" s="27" t="s">
        <v>156</v>
      </c>
      <c r="B47" t="s">
        <v>584</v>
      </c>
      <c r="C47">
        <v>101365</v>
      </c>
    </row>
    <row r="48" spans="1:4" x14ac:dyDescent="0.3">
      <c r="A48" s="27" t="s">
        <v>157</v>
      </c>
      <c r="B48" t="s">
        <v>584</v>
      </c>
      <c r="C48">
        <v>101365</v>
      </c>
    </row>
    <row r="49" spans="1:4" x14ac:dyDescent="0.3">
      <c r="A49" s="27" t="s">
        <v>158</v>
      </c>
      <c r="B49" t="s">
        <v>584</v>
      </c>
      <c r="C49">
        <v>101233</v>
      </c>
      <c r="D49">
        <v>1</v>
      </c>
    </row>
    <row r="50" spans="1:4" x14ac:dyDescent="0.3">
      <c r="A50" s="27" t="s">
        <v>159</v>
      </c>
      <c r="B50" t="s">
        <v>584</v>
      </c>
      <c r="C50">
        <v>101276</v>
      </c>
      <c r="D50">
        <v>1</v>
      </c>
    </row>
    <row r="51" spans="1:4" x14ac:dyDescent="0.3">
      <c r="A51" s="27" t="s">
        <v>160</v>
      </c>
      <c r="B51" t="s">
        <v>584</v>
      </c>
      <c r="C51">
        <v>101233</v>
      </c>
      <c r="D51">
        <v>1</v>
      </c>
    </row>
    <row r="52" spans="1:4" x14ac:dyDescent="0.3">
      <c r="A52" s="27" t="s">
        <v>161</v>
      </c>
      <c r="B52" t="s">
        <v>584</v>
      </c>
      <c r="C52">
        <v>101401</v>
      </c>
      <c r="D52">
        <v>1</v>
      </c>
    </row>
    <row r="53" spans="1:4" x14ac:dyDescent="0.3">
      <c r="A53" s="27" t="s">
        <v>162</v>
      </c>
      <c r="B53" t="s">
        <v>584</v>
      </c>
      <c r="C53">
        <v>101324</v>
      </c>
      <c r="D53">
        <v>1</v>
      </c>
    </row>
    <row r="54" spans="1:4" x14ac:dyDescent="0.3">
      <c r="A54" s="27" t="s">
        <v>163</v>
      </c>
      <c r="B54" t="s">
        <v>584</v>
      </c>
      <c r="C54">
        <v>101395</v>
      </c>
      <c r="D54">
        <v>2</v>
      </c>
    </row>
    <row r="55" spans="1:4" x14ac:dyDescent="0.3">
      <c r="A55" s="21" t="s">
        <v>164</v>
      </c>
      <c r="B55" t="s">
        <v>38</v>
      </c>
      <c r="C55">
        <v>101525</v>
      </c>
    </row>
    <row r="56" spans="1:4" x14ac:dyDescent="0.3">
      <c r="A56" s="27" t="s">
        <v>165</v>
      </c>
      <c r="B56" t="s">
        <v>584</v>
      </c>
      <c r="C56">
        <v>101530</v>
      </c>
    </row>
    <row r="57" spans="1:4" x14ac:dyDescent="0.3">
      <c r="A57" s="27" t="s">
        <v>166</v>
      </c>
      <c r="B57" t="s">
        <v>584</v>
      </c>
      <c r="C57">
        <v>101552</v>
      </c>
      <c r="D57">
        <v>6</v>
      </c>
    </row>
    <row r="58" spans="1:4" x14ac:dyDescent="0.3">
      <c r="A58" s="21" t="s">
        <v>167</v>
      </c>
      <c r="B58" t="s">
        <v>38</v>
      </c>
      <c r="C58">
        <v>100504</v>
      </c>
    </row>
    <row r="59" spans="1:4" x14ac:dyDescent="0.3">
      <c r="A59" s="27" t="s">
        <v>168</v>
      </c>
      <c r="B59" t="s">
        <v>38</v>
      </c>
      <c r="C59">
        <v>697960</v>
      </c>
    </row>
    <row r="60" spans="1:4" x14ac:dyDescent="0.3">
      <c r="A60" s="27" t="s">
        <v>169</v>
      </c>
      <c r="B60" t="s">
        <v>586</v>
      </c>
      <c r="C60">
        <v>100602</v>
      </c>
      <c r="D60">
        <v>4</v>
      </c>
    </row>
    <row r="61" spans="1:4" x14ac:dyDescent="0.3">
      <c r="A61" s="27" t="s">
        <v>170</v>
      </c>
      <c r="B61" t="s">
        <v>586</v>
      </c>
      <c r="C61">
        <v>100676</v>
      </c>
      <c r="D61">
        <v>1</v>
      </c>
    </row>
    <row r="62" spans="1:4" x14ac:dyDescent="0.3">
      <c r="A62" s="27" t="s">
        <v>171</v>
      </c>
      <c r="B62" t="s">
        <v>586</v>
      </c>
      <c r="C62">
        <v>697957</v>
      </c>
      <c r="D62">
        <v>4</v>
      </c>
    </row>
    <row r="63" spans="1:4" x14ac:dyDescent="0.3">
      <c r="A63" s="27" t="s">
        <v>172</v>
      </c>
      <c r="B63" t="s">
        <v>586</v>
      </c>
      <c r="C63">
        <v>100572</v>
      </c>
    </row>
    <row r="64" spans="1:4" x14ac:dyDescent="0.3">
      <c r="A64" s="21" t="s">
        <v>173</v>
      </c>
      <c r="B64" t="s">
        <v>38</v>
      </c>
      <c r="C64">
        <v>568545</v>
      </c>
    </row>
    <row r="65" spans="1:4" x14ac:dyDescent="0.3">
      <c r="A65" s="27" t="s">
        <v>174</v>
      </c>
      <c r="B65" t="s">
        <v>584</v>
      </c>
      <c r="C65">
        <v>101405</v>
      </c>
      <c r="D65">
        <v>4</v>
      </c>
    </row>
    <row r="66" spans="1:4" x14ac:dyDescent="0.3">
      <c r="A66" s="21" t="s">
        <v>175</v>
      </c>
      <c r="B66" t="s">
        <v>38</v>
      </c>
      <c r="C66">
        <v>101095</v>
      </c>
    </row>
    <row r="67" spans="1:4" x14ac:dyDescent="0.3">
      <c r="A67" s="27" t="s">
        <v>176</v>
      </c>
      <c r="B67" t="s">
        <v>584</v>
      </c>
      <c r="C67">
        <v>101148</v>
      </c>
      <c r="D67">
        <v>4</v>
      </c>
    </row>
    <row r="68" spans="1:4" x14ac:dyDescent="0.3">
      <c r="A68" s="27" t="s">
        <v>177</v>
      </c>
      <c r="B68" t="s">
        <v>584</v>
      </c>
      <c r="C68">
        <v>101187</v>
      </c>
      <c r="D68">
        <v>4</v>
      </c>
    </row>
    <row r="69" spans="1:4" x14ac:dyDescent="0.3">
      <c r="A69" s="21" t="s">
        <v>178</v>
      </c>
      <c r="B69" t="s">
        <v>38</v>
      </c>
      <c r="C69">
        <v>100951</v>
      </c>
      <c r="D69">
        <v>7</v>
      </c>
    </row>
    <row r="70" spans="1:4" x14ac:dyDescent="0.3">
      <c r="A70" s="27" t="s">
        <v>179</v>
      </c>
      <c r="B70" t="s">
        <v>584</v>
      </c>
      <c r="C70">
        <v>100953</v>
      </c>
      <c r="D70">
        <v>7</v>
      </c>
    </row>
    <row r="71" spans="1:4" x14ac:dyDescent="0.3">
      <c r="A71" s="21" t="s">
        <v>119</v>
      </c>
    </row>
    <row r="72" spans="1:4" x14ac:dyDescent="0.3">
      <c r="A72" s="21" t="s">
        <v>180</v>
      </c>
      <c r="B72" t="s">
        <v>38</v>
      </c>
      <c r="C72">
        <v>102467</v>
      </c>
    </row>
    <row r="73" spans="1:4" x14ac:dyDescent="0.3">
      <c r="A73" s="21" t="s">
        <v>181</v>
      </c>
      <c r="B73" t="s">
        <v>38</v>
      </c>
      <c r="C73">
        <v>102643</v>
      </c>
    </row>
    <row r="74" spans="1:4" x14ac:dyDescent="0.3">
      <c r="A74" s="21" t="s">
        <v>182</v>
      </c>
      <c r="B74" t="s">
        <v>38</v>
      </c>
      <c r="C74">
        <v>103202</v>
      </c>
    </row>
    <row r="75" spans="1:4" x14ac:dyDescent="0.3">
      <c r="A75" s="27" t="s">
        <v>183</v>
      </c>
      <c r="B75" t="s">
        <v>583</v>
      </c>
      <c r="C75">
        <v>103254</v>
      </c>
      <c r="D75">
        <v>1</v>
      </c>
    </row>
    <row r="76" spans="1:4" x14ac:dyDescent="0.3">
      <c r="A76" s="21" t="s">
        <v>184</v>
      </c>
      <c r="B76" t="s">
        <v>38</v>
      </c>
      <c r="C76">
        <v>102840</v>
      </c>
    </row>
    <row r="77" spans="1:4" x14ac:dyDescent="0.3">
      <c r="A77" s="21" t="s">
        <v>185</v>
      </c>
      <c r="B77" t="s">
        <v>38</v>
      </c>
      <c r="C77">
        <v>102517</v>
      </c>
    </row>
    <row r="78" spans="1:4" x14ac:dyDescent="0.3">
      <c r="A78" s="27" t="s">
        <v>186</v>
      </c>
      <c r="B78" t="s">
        <v>585</v>
      </c>
      <c r="C78">
        <v>102540</v>
      </c>
      <c r="D78">
        <v>2</v>
      </c>
    </row>
    <row r="79" spans="1:4" x14ac:dyDescent="0.3">
      <c r="A79" s="27" t="s">
        <v>187</v>
      </c>
      <c r="B79" t="s">
        <v>585</v>
      </c>
      <c r="C79">
        <v>102526</v>
      </c>
      <c r="D79">
        <v>1</v>
      </c>
    </row>
    <row r="80" spans="1:4" x14ac:dyDescent="0.3">
      <c r="A80" s="27" t="s">
        <v>188</v>
      </c>
      <c r="B80" t="s">
        <v>585</v>
      </c>
      <c r="C80">
        <v>102594</v>
      </c>
      <c r="D80">
        <v>2</v>
      </c>
    </row>
    <row r="81" spans="1:4" x14ac:dyDescent="0.3">
      <c r="A81" s="27" t="s">
        <v>189</v>
      </c>
      <c r="B81" t="s">
        <v>585</v>
      </c>
      <c r="C81">
        <v>102591</v>
      </c>
      <c r="D81">
        <v>2</v>
      </c>
    </row>
    <row r="82" spans="1:4" x14ac:dyDescent="0.3">
      <c r="A82" s="21" t="s">
        <v>190</v>
      </c>
      <c r="B82" t="s">
        <v>38</v>
      </c>
      <c r="C82">
        <v>102914</v>
      </c>
    </row>
    <row r="83" spans="1:4" x14ac:dyDescent="0.3">
      <c r="A83" s="27" t="s">
        <v>191</v>
      </c>
      <c r="B83" t="s">
        <v>583</v>
      </c>
      <c r="C83">
        <v>102917</v>
      </c>
    </row>
    <row r="84" spans="1:4" x14ac:dyDescent="0.3">
      <c r="A84" s="27" t="s">
        <v>192</v>
      </c>
      <c r="B84" t="s">
        <v>583</v>
      </c>
      <c r="C84">
        <v>102932</v>
      </c>
      <c r="D84">
        <v>3</v>
      </c>
    </row>
    <row r="85" spans="1:4" x14ac:dyDescent="0.3">
      <c r="A85" s="27" t="s">
        <v>193</v>
      </c>
      <c r="B85" t="s">
        <v>583</v>
      </c>
      <c r="C85">
        <v>102972</v>
      </c>
      <c r="D85">
        <v>2</v>
      </c>
    </row>
    <row r="86" spans="1:4" x14ac:dyDescent="0.3">
      <c r="A86" s="21" t="s">
        <v>194</v>
      </c>
      <c r="B86" t="s">
        <v>38</v>
      </c>
      <c r="C86">
        <v>102994</v>
      </c>
    </row>
    <row r="87" spans="1:4" x14ac:dyDescent="0.3">
      <c r="A87" s="27" t="s">
        <v>195</v>
      </c>
      <c r="B87" t="s">
        <v>583</v>
      </c>
      <c r="C87">
        <v>103106</v>
      </c>
    </row>
    <row r="88" spans="1:4" x14ac:dyDescent="0.3">
      <c r="A88" s="27" t="s">
        <v>196</v>
      </c>
      <c r="B88" t="s">
        <v>583</v>
      </c>
      <c r="C88">
        <v>103124</v>
      </c>
      <c r="D88">
        <v>2</v>
      </c>
    </row>
    <row r="89" spans="1:4" x14ac:dyDescent="0.3">
      <c r="A89" s="27" t="s">
        <v>197</v>
      </c>
      <c r="B89" t="s">
        <v>583</v>
      </c>
      <c r="C89">
        <v>102995</v>
      </c>
      <c r="D89">
        <v>2</v>
      </c>
    </row>
    <row r="90" spans="1:4" x14ac:dyDescent="0.3">
      <c r="A90" s="27" t="s">
        <v>198</v>
      </c>
      <c r="B90" t="s">
        <v>583</v>
      </c>
      <c r="C90">
        <v>103102</v>
      </c>
      <c r="D90">
        <v>2</v>
      </c>
    </row>
    <row r="91" spans="1:4" x14ac:dyDescent="0.3">
      <c r="A91" s="21" t="s">
        <v>199</v>
      </c>
      <c r="B91" t="s">
        <v>38</v>
      </c>
      <c r="C91">
        <v>102470</v>
      </c>
    </row>
    <row r="92" spans="1:4" x14ac:dyDescent="0.3">
      <c r="A92" s="27" t="s">
        <v>200</v>
      </c>
      <c r="B92" t="s">
        <v>587</v>
      </c>
      <c r="C92">
        <v>102485</v>
      </c>
    </row>
    <row r="93" spans="1:4" x14ac:dyDescent="0.3">
      <c r="A93" s="27" t="s">
        <v>201</v>
      </c>
      <c r="B93" t="s">
        <v>587</v>
      </c>
      <c r="C93">
        <v>102478</v>
      </c>
    </row>
    <row r="94" spans="1:4" x14ac:dyDescent="0.3">
      <c r="A94" s="27" t="s">
        <v>202</v>
      </c>
      <c r="B94" t="s">
        <v>587</v>
      </c>
      <c r="C94">
        <v>102471</v>
      </c>
    </row>
    <row r="95" spans="1:4" x14ac:dyDescent="0.3">
      <c r="A95" s="21" t="s">
        <v>203</v>
      </c>
      <c r="B95" t="s">
        <v>38</v>
      </c>
      <c r="C95">
        <v>102788</v>
      </c>
    </row>
    <row r="96" spans="1:4" x14ac:dyDescent="0.3">
      <c r="A96" s="27" t="s">
        <v>204</v>
      </c>
      <c r="B96" t="s">
        <v>585</v>
      </c>
      <c r="C96">
        <v>102789</v>
      </c>
    </row>
    <row r="97" spans="1:4" x14ac:dyDescent="0.3">
      <c r="A97" s="21" t="s">
        <v>119</v>
      </c>
    </row>
    <row r="98" spans="1:4" x14ac:dyDescent="0.3">
      <c r="A98" s="21" t="s">
        <v>205</v>
      </c>
      <c r="B98" t="s">
        <v>38</v>
      </c>
      <c r="C98">
        <v>115095</v>
      </c>
    </row>
    <row r="99" spans="1:4" x14ac:dyDescent="0.3">
      <c r="A99" s="21" t="s">
        <v>206</v>
      </c>
      <c r="B99" t="s">
        <v>38</v>
      </c>
      <c r="C99">
        <v>116905</v>
      </c>
    </row>
    <row r="100" spans="1:4" x14ac:dyDescent="0.3">
      <c r="A100" s="27" t="s">
        <v>207</v>
      </c>
      <c r="B100" t="s">
        <v>587</v>
      </c>
      <c r="C100">
        <v>116912</v>
      </c>
      <c r="D100">
        <v>1</v>
      </c>
    </row>
    <row r="101" spans="1:4" x14ac:dyDescent="0.3">
      <c r="A101" s="27" t="s">
        <v>208</v>
      </c>
      <c r="B101" t="s">
        <v>587</v>
      </c>
      <c r="C101">
        <v>116918</v>
      </c>
      <c r="D101">
        <v>1</v>
      </c>
    </row>
    <row r="102" spans="1:4" x14ac:dyDescent="0.3">
      <c r="A102" s="27" t="s">
        <v>209</v>
      </c>
      <c r="B102" t="s">
        <v>587</v>
      </c>
      <c r="C102">
        <v>116906</v>
      </c>
      <c r="D102">
        <v>1</v>
      </c>
    </row>
    <row r="103" spans="1:4" x14ac:dyDescent="0.3">
      <c r="A103" s="27" t="s">
        <v>210</v>
      </c>
      <c r="B103" t="s">
        <v>588</v>
      </c>
      <c r="C103">
        <v>116958</v>
      </c>
      <c r="D103">
        <v>1</v>
      </c>
    </row>
    <row r="104" spans="1:4" x14ac:dyDescent="0.3">
      <c r="A104" s="21" t="s">
        <v>211</v>
      </c>
      <c r="B104" t="s">
        <v>38</v>
      </c>
      <c r="C104">
        <v>117120</v>
      </c>
    </row>
    <row r="105" spans="1:4" x14ac:dyDescent="0.3">
      <c r="A105" s="27" t="s">
        <v>212</v>
      </c>
      <c r="B105" t="s">
        <v>586</v>
      </c>
      <c r="C105">
        <v>117159</v>
      </c>
      <c r="D105">
        <v>1</v>
      </c>
    </row>
    <row r="106" spans="1:4" x14ac:dyDescent="0.3">
      <c r="A106" s="27" t="s">
        <v>213</v>
      </c>
      <c r="B106" t="s">
        <v>586</v>
      </c>
      <c r="C106">
        <v>115221</v>
      </c>
      <c r="D106">
        <v>1</v>
      </c>
    </row>
    <row r="107" spans="1:4" x14ac:dyDescent="0.3">
      <c r="A107" s="21" t="s">
        <v>214</v>
      </c>
      <c r="B107" t="s">
        <v>38</v>
      </c>
      <c r="C107">
        <v>117015</v>
      </c>
      <c r="D107">
        <v>3</v>
      </c>
    </row>
    <row r="108" spans="1:4" x14ac:dyDescent="0.3">
      <c r="A108" s="27" t="s">
        <v>215</v>
      </c>
      <c r="B108" t="s">
        <v>586</v>
      </c>
      <c r="C108">
        <v>117016</v>
      </c>
      <c r="D108">
        <v>3</v>
      </c>
    </row>
    <row r="109" spans="1:4" x14ac:dyDescent="0.3">
      <c r="A109" s="21" t="s">
        <v>216</v>
      </c>
      <c r="B109" t="s">
        <v>589</v>
      </c>
      <c r="C109">
        <v>115398</v>
      </c>
      <c r="D109">
        <v>4</v>
      </c>
    </row>
    <row r="110" spans="1:4" x14ac:dyDescent="0.3">
      <c r="A110" s="27" t="s">
        <v>217</v>
      </c>
      <c r="B110" t="s">
        <v>583</v>
      </c>
      <c r="C110">
        <v>115530</v>
      </c>
      <c r="D110">
        <v>1</v>
      </c>
    </row>
    <row r="111" spans="1:4" x14ac:dyDescent="0.3">
      <c r="A111" s="27" t="s">
        <v>218</v>
      </c>
      <c r="B111" t="s">
        <v>583</v>
      </c>
      <c r="C111">
        <v>115534</v>
      </c>
      <c r="D111">
        <v>1</v>
      </c>
    </row>
    <row r="112" spans="1:4" x14ac:dyDescent="0.3">
      <c r="A112" s="27" t="s">
        <v>219</v>
      </c>
      <c r="B112" t="s">
        <v>589</v>
      </c>
      <c r="C112">
        <v>115408</v>
      </c>
      <c r="D112">
        <v>5</v>
      </c>
    </row>
    <row r="113" spans="1:4" x14ac:dyDescent="0.3">
      <c r="A113" s="27" t="s">
        <v>220</v>
      </c>
      <c r="B113" t="s">
        <v>589</v>
      </c>
      <c r="C113">
        <v>115453</v>
      </c>
      <c r="D113">
        <v>4</v>
      </c>
    </row>
    <row r="114" spans="1:4" x14ac:dyDescent="0.3">
      <c r="A114" s="21" t="s">
        <v>221</v>
      </c>
      <c r="B114" t="s">
        <v>38</v>
      </c>
      <c r="C114">
        <v>115629</v>
      </c>
    </row>
    <row r="115" spans="1:4" x14ac:dyDescent="0.3">
      <c r="A115" s="27" t="s">
        <v>222</v>
      </c>
      <c r="B115" t="s">
        <v>590</v>
      </c>
      <c r="C115">
        <v>115635</v>
      </c>
      <c r="D115">
        <v>8</v>
      </c>
    </row>
    <row r="116" spans="1:4" x14ac:dyDescent="0.3">
      <c r="A116" s="27" t="s">
        <v>223</v>
      </c>
      <c r="B116" t="s">
        <v>590</v>
      </c>
      <c r="C116">
        <v>115641</v>
      </c>
      <c r="D116">
        <v>6</v>
      </c>
    </row>
    <row r="117" spans="1:4" x14ac:dyDescent="0.3">
      <c r="A117" s="27" t="s">
        <v>224</v>
      </c>
      <c r="B117" t="s">
        <v>586</v>
      </c>
      <c r="C117">
        <v>115811</v>
      </c>
      <c r="D117">
        <v>6</v>
      </c>
    </row>
    <row r="118" spans="1:4" x14ac:dyDescent="0.3">
      <c r="A118" s="27" t="s">
        <v>225</v>
      </c>
      <c r="B118" t="s">
        <v>586</v>
      </c>
      <c r="C118">
        <v>115833</v>
      </c>
      <c r="D118">
        <v>4</v>
      </c>
    </row>
    <row r="119" spans="1:4" x14ac:dyDescent="0.3">
      <c r="A119" s="27" t="s">
        <v>226</v>
      </c>
      <c r="B119" t="s">
        <v>590</v>
      </c>
      <c r="C119">
        <v>115714</v>
      </c>
      <c r="D119">
        <v>4</v>
      </c>
    </row>
    <row r="120" spans="1:4" x14ac:dyDescent="0.3">
      <c r="A120" s="27" t="s">
        <v>227</v>
      </c>
      <c r="B120" t="s">
        <v>590</v>
      </c>
      <c r="C120">
        <v>115779</v>
      </c>
      <c r="D120">
        <v>3</v>
      </c>
    </row>
    <row r="121" spans="1:4" x14ac:dyDescent="0.3">
      <c r="A121" s="21" t="s">
        <v>228</v>
      </c>
      <c r="B121" t="s">
        <v>38</v>
      </c>
      <c r="C121">
        <v>116793</v>
      </c>
      <c r="D121">
        <v>1</v>
      </c>
    </row>
    <row r="122" spans="1:4" x14ac:dyDescent="0.3">
      <c r="A122" s="27" t="s">
        <v>229</v>
      </c>
      <c r="B122" t="s">
        <v>585</v>
      </c>
      <c r="C122">
        <v>116794</v>
      </c>
      <c r="D122">
        <v>1</v>
      </c>
    </row>
    <row r="123" spans="1:4" x14ac:dyDescent="0.3">
      <c r="A123" s="21" t="s">
        <v>230</v>
      </c>
      <c r="B123" t="s">
        <v>38</v>
      </c>
      <c r="C123">
        <v>116547</v>
      </c>
    </row>
    <row r="124" spans="1:4" x14ac:dyDescent="0.3">
      <c r="A124" s="27" t="s">
        <v>231</v>
      </c>
      <c r="B124" t="s">
        <v>587</v>
      </c>
      <c r="C124">
        <v>116684</v>
      </c>
      <c r="D124">
        <v>3</v>
      </c>
    </row>
    <row r="125" spans="1:4" x14ac:dyDescent="0.3">
      <c r="A125" s="27" t="s">
        <v>232</v>
      </c>
      <c r="B125" t="s">
        <v>587</v>
      </c>
      <c r="C125">
        <v>116651</v>
      </c>
      <c r="D125">
        <v>3</v>
      </c>
    </row>
    <row r="126" spans="1:4" x14ac:dyDescent="0.3">
      <c r="A126" s="27" t="s">
        <v>233</v>
      </c>
      <c r="B126" t="s">
        <v>583</v>
      </c>
      <c r="C126">
        <v>116607</v>
      </c>
      <c r="D126">
        <v>8</v>
      </c>
    </row>
    <row r="127" spans="1:4" x14ac:dyDescent="0.3">
      <c r="A127" s="21" t="s">
        <v>234</v>
      </c>
      <c r="B127" t="s">
        <v>38</v>
      </c>
      <c r="C127">
        <v>115933</v>
      </c>
    </row>
    <row r="128" spans="1:4" x14ac:dyDescent="0.3">
      <c r="A128" s="27" t="s">
        <v>235</v>
      </c>
      <c r="B128" t="s">
        <v>585</v>
      </c>
      <c r="C128">
        <v>115997</v>
      </c>
    </row>
    <row r="129" spans="1:4" x14ac:dyDescent="0.3">
      <c r="A129" s="27" t="s">
        <v>236</v>
      </c>
      <c r="B129" t="s">
        <v>585</v>
      </c>
      <c r="C129">
        <v>115998</v>
      </c>
      <c r="D129">
        <v>1</v>
      </c>
    </row>
    <row r="130" spans="1:4" x14ac:dyDescent="0.3">
      <c r="A130" s="27" t="s">
        <v>237</v>
      </c>
      <c r="B130" t="s">
        <v>585</v>
      </c>
      <c r="C130">
        <v>116432</v>
      </c>
      <c r="D130">
        <v>3</v>
      </c>
    </row>
    <row r="131" spans="1:4" x14ac:dyDescent="0.3">
      <c r="A131" s="21" t="s">
        <v>238</v>
      </c>
      <c r="B131" t="s">
        <v>38</v>
      </c>
      <c r="C131">
        <v>115257</v>
      </c>
    </row>
    <row r="132" spans="1:4" x14ac:dyDescent="0.3">
      <c r="A132" s="27" t="s">
        <v>239</v>
      </c>
      <c r="B132" t="s">
        <v>589</v>
      </c>
      <c r="C132">
        <v>115273</v>
      </c>
      <c r="D132">
        <v>4</v>
      </c>
    </row>
    <row r="133" spans="1:4" x14ac:dyDescent="0.3">
      <c r="A133" s="27" t="s">
        <v>240</v>
      </c>
      <c r="B133" t="s">
        <v>589</v>
      </c>
      <c r="C133">
        <v>115258</v>
      </c>
      <c r="D133">
        <v>3</v>
      </c>
    </row>
    <row r="134" spans="1:4" x14ac:dyDescent="0.3">
      <c r="A134" s="21" t="s">
        <v>241</v>
      </c>
      <c r="B134" t="s">
        <v>38</v>
      </c>
      <c r="C134">
        <v>117043</v>
      </c>
      <c r="D134">
        <v>7</v>
      </c>
    </row>
    <row r="135" spans="1:4" x14ac:dyDescent="0.3">
      <c r="A135" s="27" t="s">
        <v>242</v>
      </c>
      <c r="B135" t="s">
        <v>589</v>
      </c>
      <c r="C135">
        <v>117095</v>
      </c>
      <c r="D135">
        <v>7</v>
      </c>
    </row>
    <row r="136" spans="1:4" x14ac:dyDescent="0.3">
      <c r="A136" s="21" t="s">
        <v>243</v>
      </c>
      <c r="B136" t="s">
        <v>38</v>
      </c>
      <c r="C136">
        <v>115334</v>
      </c>
    </row>
    <row r="137" spans="1:4" x14ac:dyDescent="0.3">
      <c r="A137" s="27" t="s">
        <v>244</v>
      </c>
      <c r="B137" t="s">
        <v>584</v>
      </c>
      <c r="C137">
        <v>115335</v>
      </c>
      <c r="D137">
        <v>2</v>
      </c>
    </row>
    <row r="138" spans="1:4" x14ac:dyDescent="0.3">
      <c r="A138" s="21" t="s">
        <v>119</v>
      </c>
    </row>
    <row r="139" spans="1:4" x14ac:dyDescent="0.3">
      <c r="A139" s="21" t="s">
        <v>245</v>
      </c>
      <c r="B139" t="s">
        <v>38</v>
      </c>
      <c r="C139">
        <v>109216</v>
      </c>
    </row>
    <row r="140" spans="1:4" x14ac:dyDescent="0.3">
      <c r="A140" s="21" t="s">
        <v>246</v>
      </c>
      <c r="B140" t="s">
        <v>38</v>
      </c>
      <c r="C140">
        <v>111963</v>
      </c>
    </row>
    <row r="141" spans="1:4" x14ac:dyDescent="0.3">
      <c r="A141" s="27" t="s">
        <v>247</v>
      </c>
      <c r="B141" t="s">
        <v>583</v>
      </c>
      <c r="C141">
        <v>112580</v>
      </c>
      <c r="D141">
        <v>5</v>
      </c>
    </row>
    <row r="142" spans="1:4" x14ac:dyDescent="0.3">
      <c r="A142" s="27" t="s">
        <v>248</v>
      </c>
      <c r="B142" t="s">
        <v>583</v>
      </c>
      <c r="C142">
        <v>568826</v>
      </c>
    </row>
    <row r="143" spans="1:4" x14ac:dyDescent="0.3">
      <c r="A143" s="21" t="s">
        <v>249</v>
      </c>
      <c r="B143" t="s">
        <v>38</v>
      </c>
      <c r="C143">
        <v>114093</v>
      </c>
      <c r="D143">
        <v>4</v>
      </c>
    </row>
    <row r="144" spans="1:4" x14ac:dyDescent="0.3">
      <c r="A144" s="27" t="s">
        <v>250</v>
      </c>
      <c r="B144" t="s">
        <v>584</v>
      </c>
      <c r="C144">
        <v>114126</v>
      </c>
      <c r="D144">
        <v>6</v>
      </c>
    </row>
    <row r="145" spans="1:4" x14ac:dyDescent="0.3">
      <c r="A145" s="27" t="s">
        <v>251</v>
      </c>
      <c r="B145" t="s">
        <v>586</v>
      </c>
      <c r="C145">
        <v>114177</v>
      </c>
      <c r="D145">
        <v>4</v>
      </c>
    </row>
    <row r="146" spans="1:4" x14ac:dyDescent="0.3">
      <c r="A146" s="21" t="s">
        <v>252</v>
      </c>
      <c r="B146" t="s">
        <v>38</v>
      </c>
      <c r="C146">
        <v>111857</v>
      </c>
    </row>
    <row r="147" spans="1:4" x14ac:dyDescent="0.3">
      <c r="A147" s="27" t="s">
        <v>253</v>
      </c>
      <c r="B147" t="s">
        <v>588</v>
      </c>
      <c r="C147">
        <v>111858</v>
      </c>
      <c r="D147">
        <v>5</v>
      </c>
    </row>
    <row r="148" spans="1:4" x14ac:dyDescent="0.3">
      <c r="A148" s="21" t="s">
        <v>254</v>
      </c>
      <c r="B148" t="s">
        <v>38</v>
      </c>
      <c r="C148">
        <v>112811</v>
      </c>
      <c r="D148">
        <v>5</v>
      </c>
    </row>
    <row r="149" spans="1:4" x14ac:dyDescent="0.3">
      <c r="A149" s="27" t="s">
        <v>255</v>
      </c>
      <c r="B149" t="s">
        <v>585</v>
      </c>
      <c r="C149">
        <v>113166</v>
      </c>
      <c r="D149">
        <v>5</v>
      </c>
    </row>
    <row r="150" spans="1:4" x14ac:dyDescent="0.3">
      <c r="A150" s="21" t="s">
        <v>119</v>
      </c>
    </row>
    <row r="151" spans="1:4" x14ac:dyDescent="0.3">
      <c r="A151" s="21" t="s">
        <v>256</v>
      </c>
      <c r="B151" t="s">
        <v>38</v>
      </c>
      <c r="C151">
        <v>118831</v>
      </c>
    </row>
    <row r="152" spans="1:4" x14ac:dyDescent="0.3">
      <c r="A152" s="21" t="s">
        <v>257</v>
      </c>
      <c r="B152" t="s">
        <v>38</v>
      </c>
      <c r="C152">
        <v>130928</v>
      </c>
      <c r="D152">
        <v>2</v>
      </c>
    </row>
    <row r="153" spans="1:4" x14ac:dyDescent="0.3">
      <c r="A153" s="27" t="s">
        <v>258</v>
      </c>
      <c r="B153" t="s">
        <v>583</v>
      </c>
      <c r="C153">
        <v>130929</v>
      </c>
      <c r="D153">
        <v>2</v>
      </c>
    </row>
    <row r="154" spans="1:4" x14ac:dyDescent="0.3">
      <c r="A154" s="21" t="s">
        <v>259</v>
      </c>
      <c r="B154" t="s">
        <v>38</v>
      </c>
      <c r="C154">
        <v>127076</v>
      </c>
      <c r="D154">
        <v>6</v>
      </c>
    </row>
    <row r="155" spans="1:4" x14ac:dyDescent="0.3">
      <c r="A155" s="27" t="s">
        <v>260</v>
      </c>
      <c r="B155" t="s">
        <v>583</v>
      </c>
      <c r="C155">
        <v>127778</v>
      </c>
      <c r="D155">
        <v>6</v>
      </c>
    </row>
    <row r="156" spans="1:4" x14ac:dyDescent="0.3">
      <c r="A156" s="27" t="s">
        <v>261</v>
      </c>
      <c r="B156" t="s">
        <v>583</v>
      </c>
      <c r="C156">
        <v>127340</v>
      </c>
      <c r="D156">
        <v>6</v>
      </c>
    </row>
    <row r="157" spans="1:4" x14ac:dyDescent="0.3">
      <c r="A157" s="27" t="s">
        <v>262</v>
      </c>
      <c r="B157" t="s">
        <v>584</v>
      </c>
      <c r="C157">
        <v>127278</v>
      </c>
      <c r="D157">
        <v>6</v>
      </c>
    </row>
    <row r="158" spans="1:4" x14ac:dyDescent="0.3">
      <c r="A158" s="27" t="s">
        <v>263</v>
      </c>
      <c r="B158" t="s">
        <v>583</v>
      </c>
      <c r="C158">
        <v>127702</v>
      </c>
      <c r="D158">
        <v>6</v>
      </c>
    </row>
    <row r="159" spans="1:4" x14ac:dyDescent="0.3">
      <c r="A159" s="27" t="s">
        <v>264</v>
      </c>
      <c r="B159" t="s">
        <v>583</v>
      </c>
      <c r="C159">
        <v>127729</v>
      </c>
      <c r="D159">
        <v>6</v>
      </c>
    </row>
    <row r="160" spans="1:4" x14ac:dyDescent="0.3">
      <c r="A160" s="27" t="s">
        <v>265</v>
      </c>
      <c r="B160" t="s">
        <v>583</v>
      </c>
      <c r="C160">
        <v>127761</v>
      </c>
      <c r="D160">
        <v>6</v>
      </c>
    </row>
    <row r="161" spans="1:4" x14ac:dyDescent="0.3">
      <c r="A161" s="21" t="s">
        <v>266</v>
      </c>
      <c r="B161" t="s">
        <v>584</v>
      </c>
      <c r="C161">
        <v>127917</v>
      </c>
      <c r="D161">
        <v>6</v>
      </c>
    </row>
    <row r="162" spans="1:4" x14ac:dyDescent="0.3">
      <c r="A162" s="21" t="s">
        <v>267</v>
      </c>
      <c r="B162" t="s">
        <v>584</v>
      </c>
      <c r="C162">
        <v>129228</v>
      </c>
      <c r="D162">
        <v>8</v>
      </c>
    </row>
    <row r="163" spans="1:4" x14ac:dyDescent="0.3">
      <c r="A163" s="21" t="s">
        <v>268</v>
      </c>
      <c r="B163" t="s">
        <v>584</v>
      </c>
      <c r="C163">
        <v>129229</v>
      </c>
      <c r="D163">
        <v>8</v>
      </c>
    </row>
    <row r="164" spans="1:4" x14ac:dyDescent="0.3">
      <c r="A164" s="27" t="s">
        <v>269</v>
      </c>
      <c r="B164" t="s">
        <v>583</v>
      </c>
      <c r="C164">
        <v>129368</v>
      </c>
      <c r="D164">
        <v>8</v>
      </c>
    </row>
    <row r="165" spans="1:4" x14ac:dyDescent="0.3">
      <c r="A165" s="27" t="s">
        <v>270</v>
      </c>
      <c r="B165" t="s">
        <v>584</v>
      </c>
      <c r="C165">
        <v>129421</v>
      </c>
      <c r="D165">
        <v>6</v>
      </c>
    </row>
    <row r="166" spans="1:4" x14ac:dyDescent="0.3">
      <c r="A166" s="27" t="s">
        <v>271</v>
      </c>
      <c r="B166" t="s">
        <v>589</v>
      </c>
      <c r="C166">
        <v>129541</v>
      </c>
      <c r="D166">
        <v>6</v>
      </c>
    </row>
    <row r="167" spans="1:4" x14ac:dyDescent="0.3">
      <c r="A167" s="27" t="s">
        <v>272</v>
      </c>
      <c r="B167" t="s">
        <v>589</v>
      </c>
      <c r="C167">
        <v>129535</v>
      </c>
      <c r="D167">
        <v>6</v>
      </c>
    </row>
    <row r="168" spans="1:4" x14ac:dyDescent="0.3">
      <c r="A168" s="27" t="s">
        <v>273</v>
      </c>
      <c r="B168" t="s">
        <v>583</v>
      </c>
      <c r="C168">
        <v>129564</v>
      </c>
      <c r="D168">
        <v>10</v>
      </c>
    </row>
    <row r="169" spans="1:4" x14ac:dyDescent="0.3">
      <c r="A169" s="27" t="s">
        <v>274</v>
      </c>
      <c r="B169" t="s">
        <v>586</v>
      </c>
      <c r="C169">
        <v>129637</v>
      </c>
      <c r="D169">
        <v>7</v>
      </c>
    </row>
    <row r="170" spans="1:4" x14ac:dyDescent="0.3">
      <c r="A170" s="27" t="s">
        <v>275</v>
      </c>
      <c r="B170" t="s">
        <v>584</v>
      </c>
      <c r="C170">
        <v>129657</v>
      </c>
      <c r="D170">
        <v>6</v>
      </c>
    </row>
    <row r="171" spans="1:4" x14ac:dyDescent="0.3">
      <c r="A171" s="27" t="s">
        <v>276</v>
      </c>
      <c r="B171" t="s">
        <v>584</v>
      </c>
      <c r="C171">
        <v>129733</v>
      </c>
      <c r="D171">
        <v>6</v>
      </c>
    </row>
    <row r="172" spans="1:4" x14ac:dyDescent="0.3">
      <c r="A172" s="27" t="s">
        <v>277</v>
      </c>
      <c r="B172" t="s">
        <v>584</v>
      </c>
      <c r="C172">
        <v>129735</v>
      </c>
      <c r="D172">
        <v>6</v>
      </c>
    </row>
    <row r="173" spans="1:4" x14ac:dyDescent="0.3">
      <c r="A173" s="27" t="s">
        <v>278</v>
      </c>
      <c r="B173" t="s">
        <v>584</v>
      </c>
      <c r="C173">
        <v>129746</v>
      </c>
      <c r="D173">
        <v>5</v>
      </c>
    </row>
    <row r="174" spans="1:4" x14ac:dyDescent="0.3">
      <c r="A174" s="27" t="s">
        <v>279</v>
      </c>
      <c r="B174" t="s">
        <v>584</v>
      </c>
      <c r="C174">
        <v>129785</v>
      </c>
      <c r="D174">
        <v>9</v>
      </c>
    </row>
    <row r="175" spans="1:4" x14ac:dyDescent="0.3">
      <c r="A175" s="27" t="s">
        <v>280</v>
      </c>
      <c r="B175" t="s">
        <v>584</v>
      </c>
      <c r="C175">
        <v>130038</v>
      </c>
      <c r="D175">
        <v>6</v>
      </c>
    </row>
    <row r="176" spans="1:4" x14ac:dyDescent="0.3">
      <c r="A176" s="21" t="s">
        <v>281</v>
      </c>
      <c r="B176" t="s">
        <v>584</v>
      </c>
      <c r="C176">
        <v>129872</v>
      </c>
      <c r="D176">
        <v>7</v>
      </c>
    </row>
    <row r="177" spans="1:4" x14ac:dyDescent="0.3">
      <c r="A177" s="27" t="s">
        <v>282</v>
      </c>
      <c r="B177" t="s">
        <v>584</v>
      </c>
      <c r="C177">
        <v>129873</v>
      </c>
      <c r="D177">
        <v>7</v>
      </c>
    </row>
    <row r="178" spans="1:4" x14ac:dyDescent="0.3">
      <c r="A178" s="27" t="s">
        <v>283</v>
      </c>
      <c r="B178" t="s">
        <v>584</v>
      </c>
      <c r="C178">
        <v>129890</v>
      </c>
      <c r="D178">
        <v>7</v>
      </c>
    </row>
    <row r="179" spans="1:4" x14ac:dyDescent="0.3">
      <c r="A179" s="27" t="s">
        <v>284</v>
      </c>
      <c r="B179" t="s">
        <v>589</v>
      </c>
      <c r="C179">
        <v>129952</v>
      </c>
      <c r="D179">
        <v>6</v>
      </c>
    </row>
    <row r="180" spans="1:4" x14ac:dyDescent="0.3">
      <c r="A180" s="27" t="s">
        <v>285</v>
      </c>
      <c r="B180" t="s">
        <v>584</v>
      </c>
      <c r="C180">
        <v>129962</v>
      </c>
      <c r="D180">
        <v>2</v>
      </c>
    </row>
    <row r="181" spans="1:4" x14ac:dyDescent="0.3">
      <c r="A181" s="27" t="s">
        <v>286</v>
      </c>
      <c r="B181" t="s">
        <v>589</v>
      </c>
      <c r="C181">
        <v>129969</v>
      </c>
      <c r="D181">
        <v>4</v>
      </c>
    </row>
    <row r="182" spans="1:4" x14ac:dyDescent="0.3">
      <c r="A182" s="27" t="s">
        <v>287</v>
      </c>
      <c r="B182" t="s">
        <v>589</v>
      </c>
      <c r="C182">
        <v>129975</v>
      </c>
      <c r="D182">
        <v>4</v>
      </c>
    </row>
    <row r="183" spans="1:4" x14ac:dyDescent="0.3">
      <c r="A183" s="27" t="s">
        <v>288</v>
      </c>
      <c r="B183" t="s">
        <v>589</v>
      </c>
      <c r="C183">
        <v>129978</v>
      </c>
      <c r="D183">
        <v>6</v>
      </c>
    </row>
    <row r="184" spans="1:4" x14ac:dyDescent="0.3">
      <c r="A184" s="21" t="s">
        <v>289</v>
      </c>
      <c r="B184" t="s">
        <v>584</v>
      </c>
      <c r="C184">
        <v>128341</v>
      </c>
      <c r="D184">
        <v>5</v>
      </c>
    </row>
    <row r="185" spans="1:4" x14ac:dyDescent="0.3">
      <c r="A185" s="21" t="s">
        <v>290</v>
      </c>
      <c r="B185" t="s">
        <v>38</v>
      </c>
      <c r="C185">
        <v>128351</v>
      </c>
      <c r="D185">
        <v>5</v>
      </c>
    </row>
    <row r="186" spans="1:4" x14ac:dyDescent="0.3">
      <c r="A186" s="27" t="s">
        <v>291</v>
      </c>
      <c r="B186" t="s">
        <v>584</v>
      </c>
      <c r="C186">
        <v>128355</v>
      </c>
      <c r="D186">
        <v>5</v>
      </c>
    </row>
    <row r="187" spans="1:4" x14ac:dyDescent="0.3">
      <c r="A187" s="27" t="s">
        <v>292</v>
      </c>
      <c r="B187" t="s">
        <v>584</v>
      </c>
      <c r="C187">
        <v>128408</v>
      </c>
      <c r="D187">
        <v>2</v>
      </c>
    </row>
    <row r="188" spans="1:4" x14ac:dyDescent="0.3">
      <c r="A188" s="27" t="s">
        <v>293</v>
      </c>
      <c r="B188" t="s">
        <v>584</v>
      </c>
      <c r="C188">
        <v>128408</v>
      </c>
      <c r="D188">
        <v>2</v>
      </c>
    </row>
    <row r="189" spans="1:4" x14ac:dyDescent="0.3">
      <c r="A189" s="27" t="s">
        <v>294</v>
      </c>
      <c r="B189" t="s">
        <v>584</v>
      </c>
      <c r="C189">
        <v>128416</v>
      </c>
      <c r="D189">
        <v>6</v>
      </c>
    </row>
    <row r="190" spans="1:4" x14ac:dyDescent="0.3">
      <c r="A190" s="21" t="s">
        <v>295</v>
      </c>
      <c r="B190" t="s">
        <v>38</v>
      </c>
      <c r="C190">
        <v>128457</v>
      </c>
      <c r="D190">
        <v>5</v>
      </c>
    </row>
    <row r="191" spans="1:4" x14ac:dyDescent="0.3">
      <c r="A191" s="27" t="s">
        <v>296</v>
      </c>
      <c r="B191" t="s">
        <v>585</v>
      </c>
      <c r="C191">
        <v>128477</v>
      </c>
      <c r="D191">
        <v>5</v>
      </c>
    </row>
    <row r="192" spans="1:4" x14ac:dyDescent="0.3">
      <c r="A192" s="27" t="s">
        <v>297</v>
      </c>
      <c r="B192" t="s">
        <v>583</v>
      </c>
      <c r="C192">
        <v>128511</v>
      </c>
      <c r="D192">
        <v>5</v>
      </c>
    </row>
    <row r="193" spans="1:4" x14ac:dyDescent="0.3">
      <c r="A193" s="27" t="s">
        <v>298</v>
      </c>
      <c r="B193" t="s">
        <v>585</v>
      </c>
      <c r="C193">
        <v>128628</v>
      </c>
      <c r="D193">
        <v>7</v>
      </c>
    </row>
    <row r="194" spans="1:4" x14ac:dyDescent="0.3">
      <c r="A194" s="27" t="s">
        <v>299</v>
      </c>
      <c r="B194" t="s">
        <v>584</v>
      </c>
      <c r="C194">
        <v>128583</v>
      </c>
      <c r="D194">
        <v>7</v>
      </c>
    </row>
    <row r="195" spans="1:4" x14ac:dyDescent="0.3">
      <c r="A195" s="27" t="s">
        <v>300</v>
      </c>
      <c r="B195" t="s">
        <v>584</v>
      </c>
      <c r="C195">
        <v>128575</v>
      </c>
      <c r="D195">
        <v>7</v>
      </c>
    </row>
    <row r="196" spans="1:4" x14ac:dyDescent="0.3">
      <c r="A196" s="27" t="s">
        <v>301</v>
      </c>
      <c r="B196" t="s">
        <v>585</v>
      </c>
      <c r="C196">
        <v>128659</v>
      </c>
      <c r="D196">
        <v>7</v>
      </c>
    </row>
    <row r="197" spans="1:4" x14ac:dyDescent="0.3">
      <c r="A197" s="27" t="s">
        <v>302</v>
      </c>
      <c r="B197" t="s">
        <v>587</v>
      </c>
      <c r="C197">
        <v>128689</v>
      </c>
      <c r="D197">
        <v>8</v>
      </c>
    </row>
    <row r="198" spans="1:4" x14ac:dyDescent="0.3">
      <c r="A198" s="27" t="s">
        <v>303</v>
      </c>
      <c r="B198" t="s">
        <v>584</v>
      </c>
      <c r="C198">
        <v>128737</v>
      </c>
    </row>
    <row r="199" spans="1:4" x14ac:dyDescent="0.3">
      <c r="A199" s="27" t="s">
        <v>304</v>
      </c>
      <c r="B199" t="s">
        <v>584</v>
      </c>
      <c r="C199">
        <v>128771</v>
      </c>
      <c r="D199">
        <v>1</v>
      </c>
    </row>
    <row r="200" spans="1:4" x14ac:dyDescent="0.3">
      <c r="A200" s="27" t="s">
        <v>305</v>
      </c>
      <c r="B200" t="s">
        <v>584</v>
      </c>
      <c r="C200">
        <v>128776</v>
      </c>
      <c r="D200">
        <v>8</v>
      </c>
    </row>
    <row r="201" spans="1:4" x14ac:dyDescent="0.3">
      <c r="A201" s="27" t="s">
        <v>306</v>
      </c>
      <c r="B201" t="s">
        <v>584</v>
      </c>
      <c r="C201">
        <v>128811</v>
      </c>
      <c r="D201">
        <v>6</v>
      </c>
    </row>
    <row r="202" spans="1:4" x14ac:dyDescent="0.3">
      <c r="A202" s="27" t="s">
        <v>307</v>
      </c>
      <c r="B202" t="s">
        <v>584</v>
      </c>
      <c r="C202">
        <v>128844</v>
      </c>
      <c r="D202">
        <v>3</v>
      </c>
    </row>
    <row r="203" spans="1:4" x14ac:dyDescent="0.3">
      <c r="A203" s="27" t="s">
        <v>308</v>
      </c>
      <c r="B203" t="s">
        <v>584</v>
      </c>
      <c r="C203">
        <v>128874</v>
      </c>
      <c r="D203">
        <v>6</v>
      </c>
    </row>
    <row r="204" spans="1:4" x14ac:dyDescent="0.3">
      <c r="A204" s="27" t="s">
        <v>309</v>
      </c>
      <c r="B204" t="s">
        <v>584</v>
      </c>
      <c r="C204">
        <v>128951</v>
      </c>
      <c r="D204">
        <v>2</v>
      </c>
    </row>
    <row r="205" spans="1:4" x14ac:dyDescent="0.3">
      <c r="A205" s="27" t="s">
        <v>310</v>
      </c>
      <c r="B205" t="s">
        <v>584</v>
      </c>
      <c r="C205">
        <v>128968</v>
      </c>
      <c r="D205">
        <v>4</v>
      </c>
    </row>
    <row r="206" spans="1:4" x14ac:dyDescent="0.3">
      <c r="A206" s="27" t="s">
        <v>311</v>
      </c>
      <c r="B206" t="s">
        <v>584</v>
      </c>
      <c r="C206">
        <v>128978</v>
      </c>
      <c r="D206">
        <v>5</v>
      </c>
    </row>
    <row r="207" spans="1:4" x14ac:dyDescent="0.3">
      <c r="A207" s="27" t="s">
        <v>312</v>
      </c>
      <c r="B207" t="s">
        <v>584</v>
      </c>
      <c r="C207">
        <v>129071</v>
      </c>
    </row>
    <row r="208" spans="1:4" x14ac:dyDescent="0.3">
      <c r="A208" s="27" t="s">
        <v>313</v>
      </c>
      <c r="B208" t="s">
        <v>587</v>
      </c>
      <c r="C208">
        <v>129086</v>
      </c>
      <c r="D208">
        <v>6</v>
      </c>
    </row>
    <row r="209" spans="1:4" x14ac:dyDescent="0.3">
      <c r="A209" s="27" t="s">
        <v>314</v>
      </c>
      <c r="B209" t="s">
        <v>584</v>
      </c>
      <c r="C209">
        <v>129107</v>
      </c>
    </row>
    <row r="210" spans="1:4" x14ac:dyDescent="0.3">
      <c r="A210" s="27" t="s">
        <v>315</v>
      </c>
      <c r="B210" t="s">
        <v>584</v>
      </c>
      <c r="C210">
        <v>129161</v>
      </c>
      <c r="D210">
        <v>2</v>
      </c>
    </row>
    <row r="211" spans="1:4" x14ac:dyDescent="0.3">
      <c r="A211" s="27" t="s">
        <v>316</v>
      </c>
      <c r="B211" t="s">
        <v>38</v>
      </c>
      <c r="C211">
        <v>129182</v>
      </c>
    </row>
    <row r="212" spans="1:4" x14ac:dyDescent="0.3">
      <c r="A212" s="27" t="s">
        <v>317</v>
      </c>
      <c r="B212" t="s">
        <v>584</v>
      </c>
      <c r="C212">
        <v>129197</v>
      </c>
      <c r="D212">
        <v>5</v>
      </c>
    </row>
    <row r="213" spans="1:4" x14ac:dyDescent="0.3">
      <c r="A213" s="27" t="s">
        <v>318</v>
      </c>
      <c r="B213" t="s">
        <v>38</v>
      </c>
      <c r="C213">
        <v>129213</v>
      </c>
    </row>
    <row r="214" spans="1:4" x14ac:dyDescent="0.3">
      <c r="A214" s="21" t="s">
        <v>319</v>
      </c>
      <c r="B214" t="s">
        <v>584</v>
      </c>
      <c r="C214">
        <v>127917</v>
      </c>
      <c r="D214">
        <v>7</v>
      </c>
    </row>
    <row r="215" spans="1:4" x14ac:dyDescent="0.3">
      <c r="A215" s="27" t="s">
        <v>320</v>
      </c>
      <c r="B215" t="s">
        <v>584</v>
      </c>
      <c r="C215">
        <v>128563</v>
      </c>
      <c r="D215">
        <v>7</v>
      </c>
    </row>
    <row r="216" spans="1:4" x14ac:dyDescent="0.3">
      <c r="A216" s="27" t="s">
        <v>321</v>
      </c>
      <c r="B216" t="s">
        <v>584</v>
      </c>
      <c r="C216">
        <v>129182</v>
      </c>
      <c r="D216">
        <v>6</v>
      </c>
    </row>
    <row r="217" spans="1:4" x14ac:dyDescent="0.3">
      <c r="A217" s="21" t="s">
        <v>322</v>
      </c>
      <c r="B217" t="s">
        <v>583</v>
      </c>
      <c r="C217">
        <v>127917</v>
      </c>
      <c r="D217">
        <v>7</v>
      </c>
    </row>
    <row r="218" spans="1:4" x14ac:dyDescent="0.3">
      <c r="A218" s="21" t="s">
        <v>323</v>
      </c>
      <c r="B218" t="s">
        <v>38</v>
      </c>
      <c r="C218">
        <v>127917</v>
      </c>
    </row>
    <row r="219" spans="1:4" x14ac:dyDescent="0.3">
      <c r="A219" s="21" t="s">
        <v>324</v>
      </c>
      <c r="B219" t="s">
        <v>583</v>
      </c>
      <c r="C219">
        <v>128078</v>
      </c>
      <c r="D219">
        <v>8</v>
      </c>
    </row>
    <row r="220" spans="1:4" x14ac:dyDescent="0.3">
      <c r="A220" s="27" t="s">
        <v>325</v>
      </c>
      <c r="B220" t="s">
        <v>584</v>
      </c>
      <c r="C220">
        <v>128079</v>
      </c>
      <c r="D220">
        <v>8</v>
      </c>
    </row>
    <row r="221" spans="1:4" x14ac:dyDescent="0.3">
      <c r="A221" s="27" t="s">
        <v>326</v>
      </c>
      <c r="B221" t="s">
        <v>583</v>
      </c>
      <c r="C221">
        <v>128173</v>
      </c>
      <c r="D221">
        <v>6</v>
      </c>
    </row>
    <row r="222" spans="1:4" x14ac:dyDescent="0.3">
      <c r="A222" s="27" t="s">
        <v>327</v>
      </c>
      <c r="B222" t="s">
        <v>583</v>
      </c>
      <c r="C222">
        <v>128183</v>
      </c>
      <c r="D222">
        <v>6</v>
      </c>
    </row>
    <row r="223" spans="1:4" x14ac:dyDescent="0.3">
      <c r="A223" s="27" t="s">
        <v>328</v>
      </c>
      <c r="B223" t="s">
        <v>583</v>
      </c>
      <c r="C223">
        <v>128202</v>
      </c>
      <c r="D223">
        <v>6</v>
      </c>
    </row>
    <row r="224" spans="1:4" x14ac:dyDescent="0.3">
      <c r="A224" s="27" t="s">
        <v>329</v>
      </c>
      <c r="B224" t="s">
        <v>583</v>
      </c>
      <c r="C224">
        <v>127917</v>
      </c>
      <c r="D224">
        <v>6</v>
      </c>
    </row>
    <row r="225" spans="1:4" x14ac:dyDescent="0.3">
      <c r="A225" s="27" t="s">
        <v>330</v>
      </c>
      <c r="B225" t="s">
        <v>583</v>
      </c>
      <c r="C225">
        <v>128259</v>
      </c>
      <c r="D225">
        <v>8</v>
      </c>
    </row>
    <row r="226" spans="1:4" x14ac:dyDescent="0.3">
      <c r="A226" s="21" t="s">
        <v>331</v>
      </c>
      <c r="B226" t="s">
        <v>583</v>
      </c>
      <c r="C226">
        <v>136824</v>
      </c>
    </row>
    <row r="227" spans="1:4" x14ac:dyDescent="0.3">
      <c r="A227" s="27" t="s">
        <v>332</v>
      </c>
      <c r="B227" t="s">
        <v>583</v>
      </c>
      <c r="C227">
        <v>137497</v>
      </c>
    </row>
    <row r="228" spans="1:4" x14ac:dyDescent="0.3">
      <c r="A228" s="21" t="s">
        <v>333</v>
      </c>
      <c r="B228" t="s">
        <v>583</v>
      </c>
      <c r="C228">
        <v>135830</v>
      </c>
      <c r="D228">
        <v>6</v>
      </c>
    </row>
    <row r="229" spans="1:4" x14ac:dyDescent="0.3">
      <c r="A229" s="27" t="s">
        <v>334</v>
      </c>
      <c r="B229" t="s">
        <v>583</v>
      </c>
      <c r="C229">
        <v>135830</v>
      </c>
      <c r="D229">
        <v>6</v>
      </c>
    </row>
    <row r="230" spans="1:4" x14ac:dyDescent="0.3">
      <c r="A230" s="27" t="s">
        <v>335</v>
      </c>
      <c r="B230" t="s">
        <v>583</v>
      </c>
      <c r="C230">
        <v>136327</v>
      </c>
      <c r="D230">
        <v>6</v>
      </c>
    </row>
    <row r="231" spans="1:4" x14ac:dyDescent="0.3">
      <c r="A231" s="27" t="s">
        <v>336</v>
      </c>
      <c r="B231" t="s">
        <v>583</v>
      </c>
      <c r="C231">
        <v>136352</v>
      </c>
      <c r="D231">
        <v>6</v>
      </c>
    </row>
    <row r="232" spans="1:4" x14ac:dyDescent="0.3">
      <c r="A232" s="27" t="s">
        <v>337</v>
      </c>
      <c r="B232" t="s">
        <v>583</v>
      </c>
      <c r="C232">
        <v>135893</v>
      </c>
      <c r="D232">
        <v>6</v>
      </c>
    </row>
    <row r="233" spans="1:4" x14ac:dyDescent="0.3">
      <c r="A233" s="21" t="s">
        <v>338</v>
      </c>
      <c r="B233" t="s">
        <v>38</v>
      </c>
      <c r="C233">
        <v>150025</v>
      </c>
      <c r="D233">
        <v>6</v>
      </c>
    </row>
    <row r="234" spans="1:4" x14ac:dyDescent="0.3">
      <c r="A234" s="27" t="s">
        <v>339</v>
      </c>
      <c r="B234" t="s">
        <v>583</v>
      </c>
      <c r="C234">
        <v>150730</v>
      </c>
      <c r="D234">
        <v>6</v>
      </c>
    </row>
    <row r="235" spans="1:4" x14ac:dyDescent="0.3">
      <c r="A235" s="21" t="s">
        <v>340</v>
      </c>
      <c r="B235" t="s">
        <v>38</v>
      </c>
      <c r="C235">
        <v>125351</v>
      </c>
      <c r="D235">
        <v>4</v>
      </c>
    </row>
    <row r="236" spans="1:4" x14ac:dyDescent="0.3">
      <c r="A236" s="27" t="s">
        <v>341</v>
      </c>
      <c r="B236" t="s">
        <v>584</v>
      </c>
      <c r="C236">
        <v>125514</v>
      </c>
      <c r="D236">
        <v>4</v>
      </c>
    </row>
    <row r="237" spans="1:4" x14ac:dyDescent="0.3">
      <c r="A237" s="21" t="s">
        <v>342</v>
      </c>
      <c r="B237" t="s">
        <v>38</v>
      </c>
      <c r="C237">
        <v>126640</v>
      </c>
    </row>
    <row r="238" spans="1:4" x14ac:dyDescent="0.3">
      <c r="A238" s="27" t="s">
        <v>343</v>
      </c>
      <c r="B238" t="s">
        <v>589</v>
      </c>
      <c r="C238">
        <v>126774</v>
      </c>
      <c r="D238">
        <v>6</v>
      </c>
    </row>
    <row r="239" spans="1:4" x14ac:dyDescent="0.3">
      <c r="A239" s="21" t="s">
        <v>344</v>
      </c>
      <c r="B239" t="s">
        <v>38</v>
      </c>
      <c r="C239">
        <v>130934</v>
      </c>
    </row>
    <row r="240" spans="1:4" x14ac:dyDescent="0.3">
      <c r="A240" s="21" t="s">
        <v>345</v>
      </c>
      <c r="B240" t="s">
        <v>38</v>
      </c>
      <c r="C240">
        <v>118840</v>
      </c>
    </row>
    <row r="241" spans="1:4" x14ac:dyDescent="0.3">
      <c r="A241" s="27" t="s">
        <v>346</v>
      </c>
      <c r="B241" t="s">
        <v>584</v>
      </c>
      <c r="C241">
        <v>119656</v>
      </c>
      <c r="D241">
        <v>3</v>
      </c>
    </row>
    <row r="242" spans="1:4" x14ac:dyDescent="0.3">
      <c r="A242" s="27" t="s">
        <v>347</v>
      </c>
      <c r="B242" t="s">
        <v>583</v>
      </c>
      <c r="C242">
        <v>121027</v>
      </c>
      <c r="D242">
        <v>3</v>
      </c>
    </row>
    <row r="243" spans="1:4" x14ac:dyDescent="0.3">
      <c r="A243" s="27" t="s">
        <v>348</v>
      </c>
      <c r="B243" t="s">
        <v>583</v>
      </c>
      <c r="C243">
        <v>120094</v>
      </c>
      <c r="D243">
        <v>2</v>
      </c>
    </row>
    <row r="244" spans="1:4" x14ac:dyDescent="0.3">
      <c r="A244" s="27" t="s">
        <v>349</v>
      </c>
      <c r="B244" t="s">
        <v>585</v>
      </c>
      <c r="C244">
        <v>120164</v>
      </c>
      <c r="D244">
        <v>3</v>
      </c>
    </row>
    <row r="245" spans="1:4" x14ac:dyDescent="0.3">
      <c r="A245" s="27" t="s">
        <v>350</v>
      </c>
      <c r="B245" t="s">
        <v>584</v>
      </c>
      <c r="C245">
        <v>120830</v>
      </c>
      <c r="D245">
        <v>3</v>
      </c>
    </row>
    <row r="246" spans="1:4" x14ac:dyDescent="0.3">
      <c r="A246" s="27" t="s">
        <v>351</v>
      </c>
      <c r="B246" t="s">
        <v>583</v>
      </c>
      <c r="C246">
        <v>120968</v>
      </c>
      <c r="D246">
        <v>3</v>
      </c>
    </row>
    <row r="247" spans="1:4" x14ac:dyDescent="0.3">
      <c r="A247" s="27" t="s">
        <v>352</v>
      </c>
      <c r="B247" t="s">
        <v>587</v>
      </c>
      <c r="C247">
        <v>119037</v>
      </c>
      <c r="D247">
        <v>4</v>
      </c>
    </row>
    <row r="248" spans="1:4" x14ac:dyDescent="0.3">
      <c r="A248" s="21" t="s">
        <v>119</v>
      </c>
    </row>
    <row r="249" spans="1:4" x14ac:dyDescent="0.3">
      <c r="A249" s="21" t="s">
        <v>353</v>
      </c>
      <c r="B249" t="s">
        <v>38</v>
      </c>
      <c r="C249">
        <v>103359</v>
      </c>
      <c r="D249">
        <v>8</v>
      </c>
    </row>
    <row r="250" spans="1:4" x14ac:dyDescent="0.3">
      <c r="A250" s="21" t="s">
        <v>354</v>
      </c>
      <c r="B250" t="s">
        <v>583</v>
      </c>
      <c r="C250">
        <v>103364</v>
      </c>
      <c r="D250">
        <v>8</v>
      </c>
    </row>
    <row r="251" spans="1:4" x14ac:dyDescent="0.3">
      <c r="A251" s="27" t="s">
        <v>355</v>
      </c>
      <c r="B251" t="s">
        <v>583</v>
      </c>
      <c r="C251">
        <v>103444</v>
      </c>
      <c r="D251">
        <v>8</v>
      </c>
    </row>
    <row r="252" spans="1:4" x14ac:dyDescent="0.3">
      <c r="A252" s="27" t="s">
        <v>356</v>
      </c>
      <c r="B252" t="s">
        <v>583</v>
      </c>
      <c r="C252">
        <v>103369</v>
      </c>
      <c r="D252">
        <v>8</v>
      </c>
    </row>
    <row r="253" spans="1:4" x14ac:dyDescent="0.3">
      <c r="A253" s="21" t="s">
        <v>119</v>
      </c>
    </row>
    <row r="254" spans="1:4" x14ac:dyDescent="0.3">
      <c r="A254" s="21" t="s">
        <v>357</v>
      </c>
      <c r="B254" t="s">
        <v>38</v>
      </c>
      <c r="C254">
        <v>117232</v>
      </c>
    </row>
    <row r="255" spans="1:4" x14ac:dyDescent="0.3">
      <c r="A255" s="21" t="s">
        <v>358</v>
      </c>
      <c r="B255" t="s">
        <v>38</v>
      </c>
      <c r="C255">
        <v>101593</v>
      </c>
      <c r="D255">
        <v>5</v>
      </c>
    </row>
    <row r="256" spans="1:4" x14ac:dyDescent="0.3">
      <c r="A256" s="21" t="s">
        <v>359</v>
      </c>
      <c r="B256" t="s">
        <v>38</v>
      </c>
      <c r="C256">
        <v>101596</v>
      </c>
      <c r="D256">
        <v>5</v>
      </c>
    </row>
    <row r="257" spans="1:4" x14ac:dyDescent="0.3">
      <c r="A257" s="27" t="s">
        <v>360</v>
      </c>
      <c r="B257" t="s">
        <v>583</v>
      </c>
      <c r="C257">
        <v>101603</v>
      </c>
      <c r="D257">
        <v>5</v>
      </c>
    </row>
    <row r="258" spans="1:4" x14ac:dyDescent="0.3">
      <c r="A258" s="21" t="s">
        <v>361</v>
      </c>
      <c r="B258" t="s">
        <v>583</v>
      </c>
      <c r="C258">
        <v>102077</v>
      </c>
    </row>
    <row r="259" spans="1:4" x14ac:dyDescent="0.3">
      <c r="A259" s="21" t="s">
        <v>362</v>
      </c>
      <c r="B259" t="s">
        <v>38</v>
      </c>
      <c r="C259">
        <v>102020</v>
      </c>
    </row>
    <row r="260" spans="1:4" x14ac:dyDescent="0.3">
      <c r="A260" s="21" t="s">
        <v>363</v>
      </c>
      <c r="B260" t="s">
        <v>38</v>
      </c>
      <c r="C260">
        <v>101664</v>
      </c>
    </row>
    <row r="261" spans="1:4" x14ac:dyDescent="0.3">
      <c r="A261" s="27" t="s">
        <v>364</v>
      </c>
      <c r="B261" t="s">
        <v>583</v>
      </c>
      <c r="C261">
        <v>101738</v>
      </c>
      <c r="D261">
        <v>4</v>
      </c>
    </row>
    <row r="262" spans="1:4" x14ac:dyDescent="0.3">
      <c r="A262" s="21" t="s">
        <v>119</v>
      </c>
    </row>
    <row r="263" spans="1:4" x14ac:dyDescent="0.3">
      <c r="A263" s="21" t="s">
        <v>365</v>
      </c>
      <c r="B263" t="s">
        <v>38</v>
      </c>
      <c r="C263">
        <v>83677</v>
      </c>
      <c r="D263">
        <v>4</v>
      </c>
    </row>
    <row r="264" spans="1:4" x14ac:dyDescent="0.3">
      <c r="A264" s="21" t="s">
        <v>366</v>
      </c>
      <c r="B264" t="s">
        <v>38</v>
      </c>
      <c r="C264">
        <v>89787</v>
      </c>
      <c r="D264">
        <v>4</v>
      </c>
    </row>
    <row r="265" spans="1:4" x14ac:dyDescent="0.3">
      <c r="A265" s="21" t="s">
        <v>367</v>
      </c>
      <c r="B265" t="s">
        <v>38</v>
      </c>
      <c r="C265">
        <v>93294</v>
      </c>
      <c r="D265">
        <v>4</v>
      </c>
    </row>
    <row r="266" spans="1:4" x14ac:dyDescent="0.3">
      <c r="A266" s="21" t="s">
        <v>368</v>
      </c>
      <c r="B266" t="s">
        <v>38</v>
      </c>
      <c r="C266">
        <v>95080</v>
      </c>
      <c r="D266">
        <v>4</v>
      </c>
    </row>
    <row r="267" spans="1:4" x14ac:dyDescent="0.3">
      <c r="A267" s="27" t="s">
        <v>369</v>
      </c>
      <c r="B267" t="s">
        <v>584</v>
      </c>
      <c r="C267">
        <v>95081</v>
      </c>
      <c r="D267">
        <v>4</v>
      </c>
    </row>
    <row r="268" spans="1:4" x14ac:dyDescent="0.3">
      <c r="A268" s="21" t="s">
        <v>370</v>
      </c>
      <c r="B268" t="s">
        <v>38</v>
      </c>
      <c r="C268">
        <v>93745</v>
      </c>
      <c r="D268">
        <v>6</v>
      </c>
    </row>
    <row r="269" spans="1:4" x14ac:dyDescent="0.3">
      <c r="A269" s="27" t="s">
        <v>371</v>
      </c>
      <c r="B269" t="s">
        <v>584</v>
      </c>
      <c r="C269">
        <v>93773</v>
      </c>
      <c r="D269">
        <v>6</v>
      </c>
    </row>
    <row r="270" spans="1:4" x14ac:dyDescent="0.3">
      <c r="A270" s="21" t="s">
        <v>372</v>
      </c>
      <c r="B270" t="s">
        <v>38</v>
      </c>
      <c r="C270">
        <v>94022</v>
      </c>
      <c r="D270">
        <v>8</v>
      </c>
    </row>
    <row r="271" spans="1:4" x14ac:dyDescent="0.3">
      <c r="A271" s="27" t="s">
        <v>373</v>
      </c>
      <c r="B271" t="s">
        <v>584</v>
      </c>
      <c r="C271">
        <v>94025</v>
      </c>
      <c r="D271">
        <v>8</v>
      </c>
    </row>
    <row r="272" spans="1:4" x14ac:dyDescent="0.3">
      <c r="A272" s="21" t="s">
        <v>119</v>
      </c>
    </row>
    <row r="273" spans="1:4" x14ac:dyDescent="0.3">
      <c r="A273" s="21" t="s">
        <v>374</v>
      </c>
      <c r="B273" t="s">
        <v>38</v>
      </c>
      <c r="C273">
        <v>82697</v>
      </c>
      <c r="D273">
        <v>5</v>
      </c>
    </row>
    <row r="274" spans="1:4" x14ac:dyDescent="0.3">
      <c r="A274" s="21" t="s">
        <v>375</v>
      </c>
      <c r="B274" t="s">
        <v>583</v>
      </c>
      <c r="C274">
        <v>82708</v>
      </c>
      <c r="D274">
        <v>5</v>
      </c>
    </row>
    <row r="275" spans="1:4" x14ac:dyDescent="0.3">
      <c r="A275" s="21" t="s">
        <v>376</v>
      </c>
      <c r="B275" t="s">
        <v>583</v>
      </c>
      <c r="C275">
        <v>82769</v>
      </c>
      <c r="D275">
        <v>5</v>
      </c>
    </row>
    <row r="276" spans="1:4" x14ac:dyDescent="0.3">
      <c r="A276" s="21" t="s">
        <v>377</v>
      </c>
      <c r="B276" t="s">
        <v>583</v>
      </c>
      <c r="C276">
        <v>82973</v>
      </c>
      <c r="D276">
        <v>5</v>
      </c>
    </row>
    <row r="277" spans="1:4" x14ac:dyDescent="0.3">
      <c r="A277" s="27" t="s">
        <v>378</v>
      </c>
      <c r="B277" t="s">
        <v>583</v>
      </c>
      <c r="C277">
        <v>82974</v>
      </c>
      <c r="D277">
        <v>5</v>
      </c>
    </row>
    <row r="278" spans="1:4" x14ac:dyDescent="0.3">
      <c r="A278" s="21" t="s">
        <v>379</v>
      </c>
      <c r="B278" t="s">
        <v>583</v>
      </c>
      <c r="C278">
        <v>83212</v>
      </c>
      <c r="D278">
        <v>8</v>
      </c>
    </row>
    <row r="279" spans="1:4" x14ac:dyDescent="0.3">
      <c r="A279" s="27" t="s">
        <v>380</v>
      </c>
      <c r="B279" t="s">
        <v>583</v>
      </c>
      <c r="C279">
        <v>83170</v>
      </c>
      <c r="D279">
        <v>8</v>
      </c>
    </row>
    <row r="280" spans="1:4" x14ac:dyDescent="0.3">
      <c r="A280" s="21" t="s">
        <v>381</v>
      </c>
      <c r="B280" t="s">
        <v>38</v>
      </c>
      <c r="C280">
        <v>83281</v>
      </c>
    </row>
    <row r="281" spans="1:4" x14ac:dyDescent="0.3">
      <c r="A281" s="27" t="s">
        <v>382</v>
      </c>
      <c r="B281" t="s">
        <v>583</v>
      </c>
      <c r="C281">
        <v>83282</v>
      </c>
      <c r="D281">
        <v>8</v>
      </c>
    </row>
    <row r="282" spans="1:4" x14ac:dyDescent="0.3">
      <c r="A282" s="27" t="s">
        <v>383</v>
      </c>
      <c r="B282" t="s">
        <v>583</v>
      </c>
      <c r="C282">
        <v>83297</v>
      </c>
      <c r="D282">
        <v>8</v>
      </c>
    </row>
    <row r="283" spans="1:4" x14ac:dyDescent="0.3">
      <c r="A283" s="21" t="s">
        <v>384</v>
      </c>
      <c r="B283" t="s">
        <v>583</v>
      </c>
      <c r="C283">
        <v>83033</v>
      </c>
      <c r="D283">
        <v>5</v>
      </c>
    </row>
    <row r="284" spans="1:4" x14ac:dyDescent="0.3">
      <c r="A284" s="27" t="s">
        <v>385</v>
      </c>
      <c r="B284" t="s">
        <v>583</v>
      </c>
      <c r="C284">
        <v>83034</v>
      </c>
      <c r="D284">
        <v>8</v>
      </c>
    </row>
    <row r="285" spans="1:4" x14ac:dyDescent="0.3">
      <c r="A285" s="21" t="s">
        <v>386</v>
      </c>
      <c r="B285" t="s">
        <v>583</v>
      </c>
      <c r="C285">
        <v>83050</v>
      </c>
      <c r="D285">
        <v>5</v>
      </c>
    </row>
    <row r="286" spans="1:4" x14ac:dyDescent="0.3">
      <c r="A286" s="27" t="s">
        <v>387</v>
      </c>
      <c r="B286" t="s">
        <v>583</v>
      </c>
      <c r="C286">
        <v>83051</v>
      </c>
      <c r="D286">
        <v>5</v>
      </c>
    </row>
    <row r="287" spans="1:4" x14ac:dyDescent="0.3">
      <c r="A287" s="21" t="s">
        <v>388</v>
      </c>
      <c r="B287" t="s">
        <v>583</v>
      </c>
      <c r="C287">
        <v>83476</v>
      </c>
      <c r="D287">
        <v>5</v>
      </c>
    </row>
    <row r="288" spans="1:4" x14ac:dyDescent="0.3">
      <c r="A288" s="27" t="s">
        <v>389</v>
      </c>
      <c r="B288" t="s">
        <v>583</v>
      </c>
      <c r="C288">
        <v>83479</v>
      </c>
      <c r="D288">
        <v>5</v>
      </c>
    </row>
    <row r="289" spans="1:4" x14ac:dyDescent="0.3">
      <c r="A289" s="21" t="s">
        <v>390</v>
      </c>
      <c r="B289" t="s">
        <v>38</v>
      </c>
      <c r="C289">
        <v>895710</v>
      </c>
    </row>
    <row r="290" spans="1:4" x14ac:dyDescent="0.3">
      <c r="A290" s="27" t="s">
        <v>391</v>
      </c>
      <c r="B290" t="s">
        <v>583</v>
      </c>
      <c r="C290">
        <v>83006</v>
      </c>
      <c r="D290">
        <v>8</v>
      </c>
    </row>
    <row r="291" spans="1:4" x14ac:dyDescent="0.3">
      <c r="A291" s="27" t="s">
        <v>392</v>
      </c>
      <c r="B291" t="s">
        <v>583</v>
      </c>
      <c r="C291">
        <v>83029</v>
      </c>
      <c r="D291">
        <v>8</v>
      </c>
    </row>
    <row r="292" spans="1:4" x14ac:dyDescent="0.3">
      <c r="A292" s="21" t="s">
        <v>393</v>
      </c>
      <c r="B292" t="s">
        <v>583</v>
      </c>
      <c r="C292">
        <v>83249</v>
      </c>
      <c r="D292">
        <v>5</v>
      </c>
    </row>
    <row r="293" spans="1:4" x14ac:dyDescent="0.3">
      <c r="A293" s="27" t="s">
        <v>394</v>
      </c>
      <c r="B293" t="s">
        <v>583</v>
      </c>
      <c r="C293">
        <v>83250</v>
      </c>
      <c r="D293">
        <v>5</v>
      </c>
    </row>
    <row r="294" spans="1:4" x14ac:dyDescent="0.3">
      <c r="A294" s="27" t="s">
        <v>395</v>
      </c>
      <c r="B294" t="s">
        <v>583</v>
      </c>
      <c r="C294">
        <v>83254</v>
      </c>
      <c r="D294">
        <v>5</v>
      </c>
    </row>
    <row r="295" spans="1:4" x14ac:dyDescent="0.3">
      <c r="A295" s="21" t="s">
        <v>119</v>
      </c>
    </row>
    <row r="296" spans="1:4" x14ac:dyDescent="0.3">
      <c r="A296" s="21" t="s">
        <v>396</v>
      </c>
      <c r="B296" t="s">
        <v>583</v>
      </c>
      <c r="C296">
        <v>83538</v>
      </c>
      <c r="D296">
        <v>5</v>
      </c>
    </row>
    <row r="297" spans="1:4" x14ac:dyDescent="0.3">
      <c r="A297" s="21" t="s">
        <v>397</v>
      </c>
      <c r="B297" t="s">
        <v>583</v>
      </c>
      <c r="C297">
        <v>553091</v>
      </c>
      <c r="D297">
        <v>5</v>
      </c>
    </row>
    <row r="298" spans="1:4" x14ac:dyDescent="0.3">
      <c r="A298" s="21" t="s">
        <v>119</v>
      </c>
    </row>
    <row r="299" spans="1:4" x14ac:dyDescent="0.3">
      <c r="A299" s="21" t="s">
        <v>398</v>
      </c>
      <c r="B299" t="s">
        <v>38</v>
      </c>
      <c r="C299">
        <v>69458</v>
      </c>
      <c r="D299">
        <v>8</v>
      </c>
    </row>
    <row r="300" spans="1:4" x14ac:dyDescent="0.3">
      <c r="A300" s="21" t="s">
        <v>399</v>
      </c>
      <c r="B300" t="s">
        <v>38</v>
      </c>
      <c r="C300">
        <v>79118</v>
      </c>
      <c r="D300">
        <v>8</v>
      </c>
    </row>
    <row r="301" spans="1:4" x14ac:dyDescent="0.3">
      <c r="A301" s="21" t="s">
        <v>400</v>
      </c>
      <c r="B301" t="s">
        <v>38</v>
      </c>
      <c r="C301">
        <v>80384</v>
      </c>
      <c r="D301">
        <v>8</v>
      </c>
    </row>
    <row r="302" spans="1:4" x14ac:dyDescent="0.3">
      <c r="A302" s="21" t="s">
        <v>401</v>
      </c>
      <c r="B302" t="s">
        <v>589</v>
      </c>
      <c r="C302">
        <v>81388</v>
      </c>
      <c r="D302">
        <v>8</v>
      </c>
    </row>
    <row r="303" spans="1:4" x14ac:dyDescent="0.3">
      <c r="A303" s="27" t="s">
        <v>402</v>
      </c>
      <c r="B303" t="s">
        <v>589</v>
      </c>
      <c r="C303">
        <v>81400</v>
      </c>
      <c r="D303">
        <v>8</v>
      </c>
    </row>
    <row r="304" spans="1:4" x14ac:dyDescent="0.3">
      <c r="A304" s="27" t="s">
        <v>403</v>
      </c>
      <c r="B304" t="s">
        <v>584</v>
      </c>
      <c r="C304">
        <v>81391</v>
      </c>
      <c r="D304">
        <v>8</v>
      </c>
    </row>
    <row r="305" spans="1:4" x14ac:dyDescent="0.3">
      <c r="A305" s="21" t="s">
        <v>119</v>
      </c>
    </row>
    <row r="306" spans="1:4" x14ac:dyDescent="0.3">
      <c r="A306" s="21" t="s">
        <v>404</v>
      </c>
      <c r="B306" t="s">
        <v>38</v>
      </c>
      <c r="C306">
        <v>69459</v>
      </c>
    </row>
    <row r="307" spans="1:4" x14ac:dyDescent="0.3">
      <c r="A307" s="21" t="s">
        <v>405</v>
      </c>
      <c r="B307" t="s">
        <v>38</v>
      </c>
      <c r="C307">
        <v>76437</v>
      </c>
      <c r="D307">
        <v>6</v>
      </c>
    </row>
    <row r="308" spans="1:4" x14ac:dyDescent="0.3">
      <c r="A308" s="21" t="s">
        <v>406</v>
      </c>
      <c r="B308" t="s">
        <v>38</v>
      </c>
      <c r="C308">
        <v>76568</v>
      </c>
      <c r="D308">
        <v>6</v>
      </c>
    </row>
    <row r="309" spans="1:4" x14ac:dyDescent="0.3">
      <c r="A309" s="27" t="s">
        <v>407</v>
      </c>
      <c r="B309" t="s">
        <v>586</v>
      </c>
      <c r="C309">
        <v>76569</v>
      </c>
      <c r="D309">
        <v>6</v>
      </c>
    </row>
    <row r="310" spans="1:4" x14ac:dyDescent="0.3">
      <c r="A310" s="21" t="s">
        <v>408</v>
      </c>
      <c r="B310" t="s">
        <v>38</v>
      </c>
      <c r="C310">
        <v>76483</v>
      </c>
    </row>
    <row r="311" spans="1:4" x14ac:dyDescent="0.3">
      <c r="A311" s="27" t="s">
        <v>409</v>
      </c>
      <c r="B311" t="s">
        <v>586</v>
      </c>
      <c r="C311">
        <v>76497</v>
      </c>
      <c r="D311">
        <v>8</v>
      </c>
    </row>
    <row r="312" spans="1:4" x14ac:dyDescent="0.3">
      <c r="A312" s="27" t="s">
        <v>410</v>
      </c>
      <c r="B312" t="s">
        <v>586</v>
      </c>
      <c r="C312">
        <v>76484</v>
      </c>
      <c r="D312">
        <v>7</v>
      </c>
    </row>
    <row r="313" spans="1:4" x14ac:dyDescent="0.3">
      <c r="A313" s="27" t="s">
        <v>411</v>
      </c>
      <c r="B313" t="s">
        <v>586</v>
      </c>
      <c r="C313">
        <v>76534</v>
      </c>
      <c r="D313">
        <v>10</v>
      </c>
    </row>
    <row r="314" spans="1:4" x14ac:dyDescent="0.3">
      <c r="A314" s="21" t="s">
        <v>412</v>
      </c>
      <c r="B314" t="s">
        <v>38</v>
      </c>
      <c r="C314">
        <v>76676</v>
      </c>
      <c r="D314">
        <v>8</v>
      </c>
    </row>
    <row r="315" spans="1:4" x14ac:dyDescent="0.3">
      <c r="A315" s="27" t="s">
        <v>413</v>
      </c>
      <c r="B315" t="s">
        <v>586</v>
      </c>
      <c r="C315">
        <v>76677</v>
      </c>
      <c r="D315">
        <v>8</v>
      </c>
    </row>
    <row r="316" spans="1:4" x14ac:dyDescent="0.3">
      <c r="A316" s="21" t="s">
        <v>414</v>
      </c>
      <c r="B316" t="s">
        <v>38</v>
      </c>
      <c r="C316">
        <v>76591</v>
      </c>
    </row>
    <row r="317" spans="1:4" x14ac:dyDescent="0.3">
      <c r="A317" s="27" t="s">
        <v>415</v>
      </c>
      <c r="B317" t="s">
        <v>586</v>
      </c>
      <c r="C317">
        <v>76592</v>
      </c>
      <c r="D317">
        <v>8</v>
      </c>
    </row>
    <row r="318" spans="1:4" x14ac:dyDescent="0.3">
      <c r="A318" s="27" t="s">
        <v>416</v>
      </c>
      <c r="B318" t="s">
        <v>584</v>
      </c>
      <c r="C318">
        <v>76621</v>
      </c>
      <c r="D318">
        <v>7</v>
      </c>
    </row>
    <row r="319" spans="1:4" x14ac:dyDescent="0.3">
      <c r="A319" s="21" t="s">
        <v>119</v>
      </c>
    </row>
    <row r="320" spans="1:4" x14ac:dyDescent="0.3">
      <c r="A320" s="21" t="s">
        <v>417</v>
      </c>
      <c r="B320" t="s">
        <v>38</v>
      </c>
      <c r="C320">
        <v>64357</v>
      </c>
      <c r="D320">
        <v>8</v>
      </c>
    </row>
    <row r="321" spans="1:4" x14ac:dyDescent="0.3">
      <c r="A321" s="21" t="s">
        <v>418</v>
      </c>
      <c r="B321" t="s">
        <v>38</v>
      </c>
      <c r="C321">
        <v>568832</v>
      </c>
      <c r="D321">
        <v>8</v>
      </c>
    </row>
    <row r="322" spans="1:4" x14ac:dyDescent="0.3">
      <c r="A322" s="21" t="s">
        <v>419</v>
      </c>
      <c r="B322" t="s">
        <v>38</v>
      </c>
      <c r="C322">
        <v>914192</v>
      </c>
      <c r="D322">
        <v>8</v>
      </c>
    </row>
    <row r="323" spans="1:4" x14ac:dyDescent="0.3">
      <c r="A323" s="21" t="s">
        <v>420</v>
      </c>
      <c r="B323" t="s">
        <v>38</v>
      </c>
      <c r="C323">
        <v>568835</v>
      </c>
      <c r="D323">
        <v>8</v>
      </c>
    </row>
    <row r="324" spans="1:4" x14ac:dyDescent="0.3">
      <c r="A324" s="21" t="s">
        <v>421</v>
      </c>
      <c r="B324" t="s">
        <v>583</v>
      </c>
      <c r="C324">
        <v>69438</v>
      </c>
      <c r="D324">
        <v>8</v>
      </c>
    </row>
    <row r="325" spans="1:4" x14ac:dyDescent="0.3">
      <c r="A325" s="27" t="s">
        <v>422</v>
      </c>
      <c r="B325" t="s">
        <v>583</v>
      </c>
      <c r="C325">
        <v>69444</v>
      </c>
      <c r="D325">
        <v>8</v>
      </c>
    </row>
    <row r="326" spans="1:4" x14ac:dyDescent="0.3">
      <c r="A326" s="21" t="s">
        <v>119</v>
      </c>
    </row>
    <row r="327" spans="1:4" x14ac:dyDescent="0.3">
      <c r="A327" s="21" t="s">
        <v>423</v>
      </c>
      <c r="B327" t="s">
        <v>38</v>
      </c>
      <c r="C327">
        <v>69295</v>
      </c>
    </row>
    <row r="328" spans="1:4" x14ac:dyDescent="0.3">
      <c r="A328" s="21" t="s">
        <v>424</v>
      </c>
      <c r="B328" t="s">
        <v>38</v>
      </c>
      <c r="C328">
        <v>69357</v>
      </c>
    </row>
    <row r="329" spans="1:4" x14ac:dyDescent="0.3">
      <c r="A329" s="21" t="s">
        <v>119</v>
      </c>
    </row>
    <row r="330" spans="1:4" x14ac:dyDescent="0.3">
      <c r="A330" s="21" t="s">
        <v>425</v>
      </c>
      <c r="B330" t="s">
        <v>584</v>
      </c>
      <c r="C330">
        <v>68422</v>
      </c>
      <c r="D330">
        <v>5</v>
      </c>
    </row>
    <row r="331" spans="1:4" x14ac:dyDescent="0.3">
      <c r="A331" s="21" t="s">
        <v>426</v>
      </c>
      <c r="B331" t="s">
        <v>38</v>
      </c>
      <c r="C331">
        <v>68439</v>
      </c>
      <c r="D331">
        <v>8</v>
      </c>
    </row>
    <row r="332" spans="1:4" x14ac:dyDescent="0.3">
      <c r="A332" s="21" t="s">
        <v>427</v>
      </c>
      <c r="B332" t="s">
        <v>584</v>
      </c>
      <c r="C332">
        <v>68440</v>
      </c>
      <c r="D332">
        <v>8</v>
      </c>
    </row>
    <row r="333" spans="1:4" x14ac:dyDescent="0.3">
      <c r="A333" s="21" t="s">
        <v>119</v>
      </c>
    </row>
    <row r="334" spans="1:4" x14ac:dyDescent="0.3">
      <c r="A334" s="21" t="s">
        <v>428</v>
      </c>
      <c r="B334" t="s">
        <v>38</v>
      </c>
      <c r="C334">
        <v>68498</v>
      </c>
      <c r="D334">
        <v>10</v>
      </c>
    </row>
    <row r="335" spans="1:4" x14ac:dyDescent="0.3">
      <c r="A335" s="21" t="s">
        <v>429</v>
      </c>
      <c r="B335" t="s">
        <v>584</v>
      </c>
      <c r="C335">
        <v>68510</v>
      </c>
      <c r="D335">
        <v>10</v>
      </c>
    </row>
    <row r="336" spans="1:4" x14ac:dyDescent="0.3">
      <c r="A336" s="27" t="s">
        <v>430</v>
      </c>
      <c r="B336" t="s">
        <v>584</v>
      </c>
      <c r="C336">
        <v>68531</v>
      </c>
      <c r="D336">
        <v>10</v>
      </c>
    </row>
    <row r="337" spans="1:4" x14ac:dyDescent="0.3">
      <c r="A337" s="27" t="s">
        <v>431</v>
      </c>
      <c r="B337" t="s">
        <v>38</v>
      </c>
      <c r="C337">
        <v>204785</v>
      </c>
    </row>
    <row r="338" spans="1:4" x14ac:dyDescent="0.3">
      <c r="A338" s="27" t="s">
        <v>432</v>
      </c>
      <c r="B338" t="s">
        <v>38</v>
      </c>
      <c r="C338">
        <v>68544</v>
      </c>
    </row>
    <row r="339" spans="1:4" x14ac:dyDescent="0.3">
      <c r="A339" s="21" t="s">
        <v>433</v>
      </c>
      <c r="B339" t="s">
        <v>584</v>
      </c>
      <c r="C339">
        <v>68422</v>
      </c>
      <c r="D339">
        <v>10</v>
      </c>
    </row>
    <row r="340" spans="1:4" x14ac:dyDescent="0.3">
      <c r="A340" s="21" t="s">
        <v>434</v>
      </c>
      <c r="B340" t="s">
        <v>584</v>
      </c>
      <c r="C340">
        <v>68854</v>
      </c>
      <c r="D340">
        <v>10</v>
      </c>
    </row>
    <row r="341" spans="1:4" x14ac:dyDescent="0.3">
      <c r="A341" s="27" t="s">
        <v>435</v>
      </c>
      <c r="B341" t="s">
        <v>584</v>
      </c>
      <c r="C341">
        <v>68946</v>
      </c>
      <c r="D341">
        <v>10</v>
      </c>
    </row>
    <row r="342" spans="1:4" x14ac:dyDescent="0.3">
      <c r="A342" s="27" t="s">
        <v>436</v>
      </c>
      <c r="B342" t="s">
        <v>584</v>
      </c>
      <c r="C342">
        <v>68996</v>
      </c>
      <c r="D342">
        <v>10</v>
      </c>
    </row>
    <row r="343" spans="1:4" x14ac:dyDescent="0.3">
      <c r="A343" s="27" t="s">
        <v>437</v>
      </c>
      <c r="B343" t="s">
        <v>584</v>
      </c>
      <c r="C343">
        <v>68876</v>
      </c>
      <c r="D343">
        <v>10</v>
      </c>
    </row>
    <row r="344" spans="1:4" x14ac:dyDescent="0.3">
      <c r="A344" s="27" t="s">
        <v>438</v>
      </c>
      <c r="B344" t="s">
        <v>584</v>
      </c>
      <c r="C344">
        <v>68856</v>
      </c>
      <c r="D344">
        <v>10</v>
      </c>
    </row>
    <row r="345" spans="1:4" x14ac:dyDescent="0.3">
      <c r="A345" s="21" t="s">
        <v>439</v>
      </c>
      <c r="B345" t="s">
        <v>584</v>
      </c>
      <c r="C345">
        <v>68585</v>
      </c>
      <c r="D345">
        <v>10</v>
      </c>
    </row>
    <row r="346" spans="1:4" x14ac:dyDescent="0.3">
      <c r="A346" s="27" t="s">
        <v>440</v>
      </c>
      <c r="B346" t="s">
        <v>584</v>
      </c>
      <c r="C346">
        <v>68638</v>
      </c>
      <c r="D346">
        <v>10</v>
      </c>
    </row>
    <row r="347" spans="1:4" x14ac:dyDescent="0.3">
      <c r="A347" s="21" t="s">
        <v>441</v>
      </c>
      <c r="B347" t="s">
        <v>584</v>
      </c>
      <c r="C347">
        <v>68585</v>
      </c>
      <c r="D347">
        <v>10</v>
      </c>
    </row>
  </sheetData>
  <phoneticPr fontId="0" type="noConversion"/>
  <hyperlinks>
    <hyperlink ref="A5" r:id="rId1" xr:uid="{00000000-0004-0000-0500-000000000000}"/>
  </hyperlinks>
  <pageMargins left="0.7" right="0.7" top="0.75" bottom="0.75" header="0.3" footer="0.3"/>
  <headerFooter alignWithMargins="0"/>
  <drawing r:id="rId2"/>
  <legacyDrawing r:id="rId3"/>
  <oleObjects>
    <mc:AlternateContent xmlns:mc="http://schemas.openxmlformats.org/markup-compatibility/2006">
      <mc:Choice Requires="x14">
        <oleObject progId="PhotoshopElements.Image.2" shapeId="614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1341120</xdr:colOff>
                <xdr:row>0</xdr:row>
                <xdr:rowOff>655320</xdr:rowOff>
              </to>
            </anchor>
          </objectPr>
        </oleObject>
      </mc:Choice>
      <mc:Fallback>
        <oleObject progId="PhotoshopElements.Image.2" shapeId="6145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workbookViewId="0">
      <selection activeCell="F26" sqref="F26"/>
    </sheetView>
  </sheetViews>
  <sheetFormatPr defaultColWidth="8.88671875" defaultRowHeight="14.4" x14ac:dyDescent="0.3"/>
  <cols>
    <col min="1" max="1" width="37.109375" customWidth="1"/>
    <col min="2" max="2" width="15.88671875" customWidth="1"/>
    <col min="3" max="3" width="14.6640625" customWidth="1"/>
    <col min="4" max="4" width="18.6640625" customWidth="1"/>
    <col min="5" max="5" width="19.33203125" customWidth="1"/>
    <col min="6" max="6" width="18.6640625" style="16" customWidth="1"/>
    <col min="7" max="129" width="18.6640625" customWidth="1"/>
  </cols>
  <sheetData>
    <row r="1" spans="1:6" ht="39.75" customHeight="1" x14ac:dyDescent="0.3"/>
    <row r="2" spans="1:6" x14ac:dyDescent="0.3">
      <c r="A2" t="s">
        <v>85</v>
      </c>
    </row>
    <row r="3" spans="1:6" x14ac:dyDescent="0.3">
      <c r="A3" t="s">
        <v>86</v>
      </c>
    </row>
    <row r="4" spans="1:6" x14ac:dyDescent="0.3">
      <c r="A4" t="s">
        <v>65</v>
      </c>
    </row>
    <row r="5" spans="1:6" x14ac:dyDescent="0.3">
      <c r="A5" s="4" t="s">
        <v>62</v>
      </c>
    </row>
    <row r="6" spans="1:6" x14ac:dyDescent="0.3">
      <c r="A6" t="s">
        <v>63</v>
      </c>
      <c r="E6" s="17" t="s">
        <v>80</v>
      </c>
      <c r="F6" s="18" t="s">
        <v>81</v>
      </c>
    </row>
    <row r="7" spans="1:6" x14ac:dyDescent="0.3">
      <c r="A7" s="5"/>
    </row>
    <row r="8" spans="1:6" ht="15" customHeight="1" x14ac:dyDescent="0.3">
      <c r="A8" s="32" t="s">
        <v>591</v>
      </c>
      <c r="B8" s="32"/>
      <c r="C8" s="32"/>
      <c r="D8" s="32"/>
      <c r="E8" s="32"/>
      <c r="F8" s="32"/>
    </row>
    <row r="9" spans="1:6" x14ac:dyDescent="0.3">
      <c r="A9" t="s">
        <v>552</v>
      </c>
      <c r="B9" t="s">
        <v>456</v>
      </c>
      <c r="C9" s="34">
        <v>2</v>
      </c>
      <c r="D9" s="33" t="s">
        <v>119</v>
      </c>
    </row>
    <row r="10" spans="1:6" x14ac:dyDescent="0.3">
      <c r="A10" t="s">
        <v>498</v>
      </c>
      <c r="B10" t="s">
        <v>456</v>
      </c>
      <c r="C10" s="34">
        <v>1</v>
      </c>
      <c r="D10" s="33" t="s">
        <v>119</v>
      </c>
    </row>
    <row r="11" spans="1:6" x14ac:dyDescent="0.3">
      <c r="A11" t="s">
        <v>455</v>
      </c>
      <c r="B11" t="s">
        <v>456</v>
      </c>
      <c r="C11" s="34">
        <v>6</v>
      </c>
      <c r="D11" s="33" t="s">
        <v>119</v>
      </c>
    </row>
    <row r="12" spans="1:6" x14ac:dyDescent="0.3">
      <c r="A12" s="25" t="s">
        <v>463</v>
      </c>
      <c r="B12" s="22"/>
      <c r="C12" s="23">
        <f>SUM(C9:C11)</f>
        <v>9</v>
      </c>
      <c r="D12" s="22"/>
      <c r="E12" s="23">
        <v>310</v>
      </c>
      <c r="F12" s="26">
        <f>1-((C12/E12))</f>
        <v>0.97096774193548385</v>
      </c>
    </row>
    <row r="15" spans="1:6" x14ac:dyDescent="0.3">
      <c r="A15" s="32" t="s">
        <v>592</v>
      </c>
      <c r="B15" s="32"/>
      <c r="C15" s="32"/>
      <c r="D15" s="32"/>
      <c r="E15" s="32"/>
      <c r="F15" s="32"/>
    </row>
    <row r="16" spans="1:6" x14ac:dyDescent="0.3">
      <c r="A16" t="s">
        <v>455</v>
      </c>
      <c r="B16" t="s">
        <v>456</v>
      </c>
      <c r="C16" s="34">
        <v>1</v>
      </c>
      <c r="D16" s="33" t="s">
        <v>119</v>
      </c>
    </row>
    <row r="17" spans="1:6" x14ac:dyDescent="0.3">
      <c r="A17" s="25" t="s">
        <v>463</v>
      </c>
      <c r="B17" s="22"/>
      <c r="C17" s="23">
        <f>SUM(C16:C16)</f>
        <v>1</v>
      </c>
      <c r="D17" s="22"/>
      <c r="E17" s="23">
        <v>285</v>
      </c>
      <c r="F17" s="26">
        <f>1-((C17/E17))</f>
        <v>0.99649122807017543</v>
      </c>
    </row>
  </sheetData>
  <phoneticPr fontId="0" type="noConversion"/>
  <hyperlinks>
    <hyperlink ref="A5" r:id="rId1" xr:uid="{00000000-0004-0000-0600-000000000000}"/>
  </hyperlinks>
  <pageMargins left="0.7" right="0.7" top="0.75" bottom="0.75" header="0.3" footer="0.3"/>
  <headerFooter alignWithMargins="0"/>
  <drawing r:id="rId2"/>
  <legacyDrawing r:id="rId3"/>
  <oleObjects>
    <mc:AlternateContent xmlns:mc="http://schemas.openxmlformats.org/markup-compatibility/2006">
      <mc:Choice Requires="x14">
        <oleObject progId="PhotoshopElements.Image.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1341120</xdr:colOff>
                <xdr:row>1</xdr:row>
                <xdr:rowOff>0</xdr:rowOff>
              </to>
            </anchor>
          </objectPr>
        </oleObject>
      </mc:Choice>
      <mc:Fallback>
        <oleObject progId="PhotoshopElements.Image.2" shapeId="8193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Whole Sample Data</vt:lpstr>
      <vt:lpstr>Metrics</vt:lpstr>
      <vt:lpstr>Raw Data</vt:lpstr>
      <vt:lpstr>Raw Data - Flat</vt:lpstr>
      <vt:lpstr>Subsample Record</vt:lpstr>
      <vt:lpstr>Taxa Codes</vt:lpstr>
      <vt:lpstr>Sorting Efficiency</vt:lpstr>
      <vt:lpstr>Metrics!Print_Titles</vt:lpstr>
      <vt:lpstr>'Raw Data'!Print_Titles</vt:lpstr>
      <vt:lpstr>'Whole Sample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2021-04-08T17:35:28Z</dcterms:modified>
</cp:coreProperties>
</file>